
<file path=[Content_Types].xml><?xml version="1.0" encoding="utf-8"?>
<Types xmlns="http://schemas.openxmlformats.org/package/2006/content-types">
  <Default Extension="bin" ContentType="application/vnd.openxmlformats-officedocument.spreadsheetml.printerSettings"/>
  <Default Extension="png" ContentType="image/png"/>
  <Default Extension="wmf" ContentType="image/x-w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5" lowestEdited="5" rupBuild="9303"/>
  <workbookPr/>
  <bookViews>
    <workbookView xWindow="2070" yWindow="375" windowWidth="17130" windowHeight="6735"/>
  </bookViews>
  <sheets>
    <sheet name="About" sheetId="1" r:id="rId1"/>
    <sheet name="Capture cost" sheetId="11" r:id="rId2"/>
    <sheet name="David &amp; Herzog" sheetId="2" r:id="rId3"/>
    <sheet name="Electricity demand and cost" sheetId="3" r:id="rId4"/>
    <sheet name="Impute capital-O&amp;M fractions" sheetId="12" r:id="rId5"/>
    <sheet name="NETL ATLAS V" sheetId="9" r:id="rId6"/>
    <sheet name="Rubin et al.-transport&amp;storage" sheetId="8" r:id="rId7"/>
    <sheet name="45Q tax credit" sheetId="16" r:id="rId8"/>
    <sheet name="Cost to administer policy" sheetId="15" r:id="rId9"/>
    <sheet name="Aggregation of cost inputs" sheetId="13" r:id="rId10"/>
    <sheet name="CC-CCoEtSOToCpY" sheetId="4" r:id="rId11"/>
    <sheet name="CC-TOMCpTS" sheetId="5" r:id="rId12"/>
    <sheet name="CC-EUpTCS" sheetId="6" r:id="rId13"/>
  </sheets>
  <calcPr calcId="145621"/>
  <extLst>
    <ext xmlns:mx="http://schemas.microsoft.com/office/mac/excel/2008/main" uri="{7523E5D3-25F3-A5E0-1632-64F254C22452}">
      <mx:ArchID Flags="2"/>
    </ext>
  </extLst>
</workbook>
</file>

<file path=xl/calcChain.xml><?xml version="1.0" encoding="utf-8"?>
<calcChain xmlns="http://schemas.openxmlformats.org/spreadsheetml/2006/main">
  <c r="E6" i="3" l="1"/>
  <c r="B43" i="15" l="1"/>
  <c r="C43" i="15"/>
  <c r="D43" i="15"/>
  <c r="D16" i="8" l="1"/>
  <c r="C16" i="8"/>
  <c r="Q15" i="16"/>
  <c r="P14" i="16"/>
  <c r="Q14" i="16"/>
  <c r="O13" i="16"/>
  <c r="P13" i="16"/>
  <c r="Q13" i="16"/>
  <c r="N12" i="16"/>
  <c r="O12" i="16"/>
  <c r="P12" i="16"/>
  <c r="Q12" i="16"/>
  <c r="M11" i="16"/>
  <c r="N11" i="16"/>
  <c r="O11" i="16"/>
  <c r="P11" i="16"/>
  <c r="Q11" i="16"/>
  <c r="L10" i="16"/>
  <c r="M10" i="16"/>
  <c r="N10" i="16"/>
  <c r="O10" i="16"/>
  <c r="P10" i="16"/>
  <c r="Q10" i="16"/>
  <c r="K9" i="16"/>
  <c r="L9" i="16"/>
  <c r="M9" i="16"/>
  <c r="N9" i="16"/>
  <c r="O9" i="16"/>
  <c r="P9" i="16"/>
  <c r="Q9" i="16"/>
  <c r="Q16" i="16"/>
  <c r="R16" i="16" s="1"/>
  <c r="O14" i="16"/>
  <c r="P15" i="16"/>
  <c r="N13" i="16"/>
  <c r="L11" i="16"/>
  <c r="M12" i="16"/>
  <c r="K10" i="16"/>
  <c r="J9" i="16"/>
  <c r="A10" i="16"/>
  <c r="A11" i="16" s="1"/>
  <c r="A12" i="16" s="1"/>
  <c r="A13" i="16" s="1"/>
  <c r="A14" i="16" s="1"/>
  <c r="A15" i="16" s="1"/>
  <c r="A16" i="16" s="1"/>
  <c r="M22" i="16"/>
  <c r="N22" i="16" s="1"/>
  <c r="O22" i="16" s="1"/>
  <c r="P22" i="16" s="1"/>
  <c r="Q22" i="16" s="1"/>
  <c r="D22" i="16"/>
  <c r="E22" i="16" s="1"/>
  <c r="F22" i="16" s="1"/>
  <c r="G22" i="16" s="1"/>
  <c r="H22" i="16" s="1"/>
  <c r="I22" i="16" s="1"/>
  <c r="J22" i="16" s="1"/>
  <c r="K22" i="16" s="1"/>
  <c r="H3" i="16"/>
  <c r="I3" i="16" s="1"/>
  <c r="J3" i="16" s="1"/>
  <c r="K3" i="16" s="1"/>
  <c r="L3" i="16" s="1"/>
  <c r="M3" i="16" s="1"/>
  <c r="N3" i="16" s="1"/>
  <c r="O3" i="16" s="1"/>
  <c r="P3" i="16" s="1"/>
  <c r="Q3" i="16" s="1"/>
  <c r="R12" i="16" l="1"/>
  <c r="R14" i="16"/>
  <c r="R15" i="16"/>
  <c r="R9" i="16"/>
  <c r="R13" i="16"/>
  <c r="R10" i="16"/>
  <c r="R11" i="16"/>
  <c r="C18" i="8"/>
  <c r="B18" i="16" l="1"/>
  <c r="Q26" i="16" l="1"/>
  <c r="Q28" i="16" s="1"/>
  <c r="M26" i="16"/>
  <c r="M28" i="16" s="1"/>
  <c r="O26" i="16"/>
  <c r="O28" i="16" s="1"/>
  <c r="J26" i="16"/>
  <c r="J28" i="16" s="1"/>
  <c r="P26" i="16"/>
  <c r="P28" i="16" s="1"/>
  <c r="L26" i="16"/>
  <c r="L28" i="16" s="1"/>
  <c r="K26" i="16"/>
  <c r="K28" i="16" s="1"/>
  <c r="N26" i="16"/>
  <c r="N28" i="16" s="1"/>
  <c r="B60" i="8"/>
  <c r="C19" i="8" s="1"/>
  <c r="C2" i="8" s="1"/>
  <c r="Q33" i="16" l="1"/>
  <c r="O33" i="16"/>
  <c r="K33" i="16"/>
  <c r="P33" i="16"/>
  <c r="L33" i="16"/>
  <c r="J33" i="16"/>
  <c r="E35" i="16" s="1"/>
  <c r="B21" i="13" s="1"/>
  <c r="N33" i="16"/>
  <c r="M33" i="16"/>
  <c r="E33" i="8"/>
  <c r="E37" i="8" s="1"/>
  <c r="D33" i="8"/>
  <c r="D37" i="8" s="1"/>
  <c r="C39" i="8" s="1"/>
  <c r="C33" i="8"/>
  <c r="C37" i="8" s="1"/>
  <c r="C40" i="8" l="1"/>
  <c r="F43" i="15"/>
  <c r="G43" i="15"/>
  <c r="H43" i="15"/>
  <c r="I43" i="15"/>
  <c r="J43" i="15"/>
  <c r="K43" i="15"/>
  <c r="L43" i="15"/>
  <c r="M43" i="15"/>
  <c r="N43" i="15"/>
  <c r="O43" i="15"/>
  <c r="B9" i="15" s="1"/>
  <c r="E43" i="15"/>
  <c r="E25" i="15" l="1"/>
  <c r="H25" i="15" l="1"/>
  <c r="B7" i="15"/>
  <c r="B12" i="15" s="1"/>
  <c r="B7" i="13"/>
  <c r="B11" i="13" s="1"/>
  <c r="B5" i="12" l="1"/>
  <c r="A6" i="12"/>
  <c r="A7" i="12"/>
  <c r="B1" i="12"/>
  <c r="A2" i="12"/>
  <c r="B10" i="12"/>
  <c r="A3" i="12"/>
  <c r="C21" i="8" l="1"/>
  <c r="C47" i="8"/>
  <c r="D21" i="8"/>
  <c r="C20" i="3"/>
  <c r="C23" i="3" s="1"/>
  <c r="B20" i="3"/>
  <c r="B23" i="3" s="1"/>
  <c r="C12" i="3"/>
  <c r="C15" i="3" s="1"/>
  <c r="B12" i="3"/>
  <c r="B15" i="3" s="1"/>
  <c r="B2" i="5" s="1"/>
  <c r="C3" i="3"/>
  <c r="C4" i="3"/>
  <c r="B3" i="3"/>
  <c r="B4" i="3"/>
  <c r="B6" i="3" l="1"/>
  <c r="C6" i="3"/>
  <c r="B3" i="6"/>
  <c r="B2" i="6"/>
  <c r="C42" i="8"/>
  <c r="C3" i="8" s="1"/>
  <c r="D22" i="8"/>
  <c r="C22" i="8"/>
  <c r="B11" i="12"/>
  <c r="B13" i="12" s="1"/>
  <c r="B17" i="15" s="1"/>
  <c r="C17" i="15" s="1"/>
  <c r="C8" i="8" l="1"/>
  <c r="B28" i="13"/>
  <c r="B14" i="12"/>
  <c r="D12" i="13" l="1"/>
  <c r="D18" i="13"/>
  <c r="D22" i="13"/>
  <c r="B1" i="8"/>
  <c r="B29" i="13"/>
  <c r="B18" i="15"/>
  <c r="C18" i="15" s="1"/>
  <c r="D19" i="13" l="1"/>
  <c r="D23" i="13"/>
  <c r="E7" i="3"/>
  <c r="E8" i="3" s="1"/>
  <c r="B2" i="4" s="1"/>
  <c r="B14" i="13"/>
  <c r="D16" i="13" s="1"/>
  <c r="D13" i="13"/>
  <c r="B2" i="13" l="1"/>
  <c r="B3" i="5" s="1"/>
  <c r="D15" i="13"/>
  <c r="B1" i="13" s="1"/>
  <c r="B3" i="4" s="1"/>
</calcChain>
</file>

<file path=xl/sharedStrings.xml><?xml version="1.0" encoding="utf-8"?>
<sst xmlns="http://schemas.openxmlformats.org/spreadsheetml/2006/main" count="288" uniqueCount="234">
  <si>
    <t>Source:</t>
  </si>
  <si>
    <t>David, Jeremy and Howard Herzog</t>
  </si>
  <si>
    <t>The Cost of Carbon Capture</t>
  </si>
  <si>
    <t>http://sequestration.mit.edu/pdf/David_and_Herzog.pdf</t>
  </si>
  <si>
    <t>Input</t>
  </si>
  <si>
    <t>$/(kg/h)</t>
  </si>
  <si>
    <t>Cycle</t>
  </si>
  <si>
    <t>IGCC</t>
  </si>
  <si>
    <t>PC</t>
  </si>
  <si>
    <t>NGCC</t>
  </si>
  <si>
    <t>mills/kg</t>
  </si>
  <si>
    <t>kWh/kg</t>
  </si>
  <si>
    <t>Incremental Capital Cost, $/(kg/h)</t>
  </si>
  <si>
    <t>Data Description</t>
  </si>
  <si>
    <t>Capital Cost, $/kW</t>
  </si>
  <si>
    <t>O&amp;M, mills/kWh</t>
  </si>
  <si>
    <t>Heat Rate (LHV), Btu/kWh</t>
  </si>
  <si>
    <t>Incremental O&amp;M, mills/kg</t>
  </si>
  <si>
    <t>Energy Requirements, kWh/kg</t>
  </si>
  <si>
    <t xml:space="preserve">Basis  </t>
  </si>
  <si>
    <t>Yearly Operating Hours, hrs/yr</t>
  </si>
  <si>
    <t>Capital Charge Rate, %/yr</t>
  </si>
  <si>
    <t>Fuel Cost (LHV), $/MMBtu</t>
  </si>
  <si>
    <t>Capture Efficiency, %</t>
  </si>
  <si>
    <t xml:space="preserve">Reference Plant </t>
  </si>
  <si>
    <t>CO2 Emitted, kg/kWh</t>
  </si>
  <si>
    <t>coe: CAPITAL, mills/kWh</t>
  </si>
  <si>
    <t>coe: FUEL, mills/kWh</t>
  </si>
  <si>
    <t>coe: O&amp;M, mills/kWh</t>
  </si>
  <si>
    <t>Cost of Electricity, ¢/kWh</t>
  </si>
  <si>
    <t>Thermal Efficiency (LHV), %</t>
  </si>
  <si>
    <t xml:space="preserve">Capture Plant </t>
  </si>
  <si>
    <t>Relative Power Output, %</t>
  </si>
  <si>
    <t xml:space="preserve">Comparison  </t>
  </si>
  <si>
    <t>Incremental coe, ¢/kWh</t>
  </si>
  <si>
    <t>Energy Penalty, %</t>
  </si>
  <si>
    <t>Mitigation Cost, Capture vs. Ref., $/tonne of CO2 avoided</t>
  </si>
  <si>
    <t>This is a copy of Table 2 from Herzog and David, "The Cost of Carbon Capture"</t>
  </si>
  <si>
    <t>Key to Table 2 Terms</t>
  </si>
  <si>
    <t>IGCC = Integrated coal Gasification Combined Cycle</t>
  </si>
  <si>
    <t>PC = Pulverized Coal</t>
  </si>
  <si>
    <t>NGCC = Natural Gas Combined Cycle</t>
  </si>
  <si>
    <t>mill = 1/1000th of a dollar, or 1/10th of a cent</t>
  </si>
  <si>
    <t>Industry (NGCC)</t>
  </si>
  <si>
    <t>Electricity (IGCC)</t>
  </si>
  <si>
    <t>Operating hrs/yr</t>
  </si>
  <si>
    <t>kg/ton</t>
  </si>
  <si>
    <t>RESULT ($/ton*yr)</t>
  </si>
  <si>
    <t>CCS Total O&amp;M Cost per Ton Sequestered</t>
  </si>
  <si>
    <t>$/mill</t>
  </si>
  <si>
    <t>Energy Use per Ton CO2 Sequestered</t>
  </si>
  <si>
    <t>BTU/kWh</t>
  </si>
  <si>
    <t>RESULT (BTU/ton)</t>
  </si>
  <si>
    <t>CC CCS Total O&amp;M Cost per Ton Sequestered</t>
  </si>
  <si>
    <t>CC Energy Use per Ton CO2 Sequestered</t>
  </si>
  <si>
    <t>Notes:</t>
  </si>
  <si>
    <t>As noted in the source paper, the "incremental" costs here refer to the costs associated with CCS,</t>
  </si>
  <si>
    <t>additional to the costs of a similar power plant without CCS.</t>
  </si>
  <si>
    <t>electricity sector</t>
  </si>
  <si>
    <t>industry sector</t>
  </si>
  <si>
    <t>We use IGCC to represent electric utilities (which are likely to primarily apply CCS to coal</t>
  </si>
  <si>
    <t>plants) and NGCC to represent industry.</t>
  </si>
  <si>
    <t>CC Capital Cost of Eqpt to Sequester One Ton of CO2 per Year</t>
  </si>
  <si>
    <t>Capital cost ($/(ton*yr))</t>
  </si>
  <si>
    <t>Capital Cost of Eqpt to Sequester One Ton of CO2 per Year</t>
  </si>
  <si>
    <t>O&amp;M Cost per Ton ($/ton)</t>
  </si>
  <si>
    <t>RESULT ($/ton)</t>
  </si>
  <si>
    <t>Energy Use per Ton Sequestered (BTU/ton)</t>
  </si>
  <si>
    <t>The document does not specify the year of the dollars shown, so we assume that the</t>
  </si>
  <si>
    <t>dollars (at least for the 2012 values) are in 2012 dollars and thus need no conversion.</t>
  </si>
  <si>
    <t>About:</t>
  </si>
  <si>
    <t>N/A</t>
  </si>
  <si>
    <t>Rubin ES, Davison JE, Herzog HJ</t>
  </si>
  <si>
    <t>The cost of CO2 capture and storage</t>
  </si>
  <si>
    <t>Int. J. Greenh. Gas Control. 40:378–400</t>
  </si>
  <si>
    <t>Comprehensive review of CCS capture, transport and storage cost estimates from prior studies, normalized to 2013 dollars.</t>
  </si>
  <si>
    <t>Data from Rubin et al. (2015)</t>
  </si>
  <si>
    <t>Capacity (MtCO2/yr):</t>
  </si>
  <si>
    <t>Study</t>
  </si>
  <si>
    <t>IPCC (2005)</t>
  </si>
  <si>
    <t>ZEP (2011b)</t>
  </si>
  <si>
    <t>USDOE (2014a)</t>
  </si>
  <si>
    <t>4.3-7.2</t>
  </si>
  <si>
    <t>2.2-3.7</t>
  </si>
  <si>
    <t>1.3-2.2</t>
  </si>
  <si>
    <t>Table 10: Transport costs on a common basis (2013 USD/tCO2/250 km) for onshore pipelines at three different capacities.</t>
  </si>
  <si>
    <t>Table 13: Typical ranges of onshore storage costs on a common basis (2013 USD/tCO2).</t>
  </si>
  <si>
    <t>Low</t>
  </si>
  <si>
    <t>High</t>
  </si>
  <si>
    <t>GCCSI (2011)</t>
  </si>
  <si>
    <t>km</t>
  </si>
  <si>
    <t>Transport</t>
  </si>
  <si>
    <t>Storage</t>
  </si>
  <si>
    <t>Data from NETL's Carbon Storage Atlas, 5th Edition (2015)</t>
  </si>
  <si>
    <t>NETL</t>
  </si>
  <si>
    <t>Carbon Storage Atlas</t>
  </si>
  <si>
    <t>5th Edition</t>
  </si>
  <si>
    <t>https://www.netl.doe.gov/File%20Library/Research/Coal/carbon-storage/atlasv/ATLAS-V-2015.pdf</t>
  </si>
  <si>
    <t>Comprehensive review of CO2 storage site locations in the U.S. in high-resolution map format, so CA resources are clearly visible</t>
  </si>
  <si>
    <t>Maps from p. 24 and pp. 28-31 showing CO2 storage formations in California (p. 25-27 show oil, gas and unmineable coal seams, which have no formations in the state):</t>
  </si>
  <si>
    <t>Given the many types of CO2 sequestration formations available in the state (see ATLAS V maps), and California's dimensions (400 km width and 1,240 km length),</t>
  </si>
  <si>
    <t>a reasonable "average" distance to an onshore sequestration site in California might be ~150 km.</t>
  </si>
  <si>
    <t>Assuming an average CO2 transport distance of 150 km (see ATLAS V maps tab), carbon transport costs at scale (30 MtCO2/yr) are approximately:</t>
  </si>
  <si>
    <t xml:space="preserve">and $86.4/tCO2at the cokeplant in the iron and steel industry, corresponding to 86% of emis-sions. </t>
  </si>
  <si>
    <t>with an additional 50% of emissions available for capture at $98.0/tCO2, cor-responding to boilers or furnaces.</t>
  </si>
  <si>
    <t xml:space="preserve">Since refineries are highly heterogeneous, it is assumed that 15% of the emissions can be captured at a cost of $40.7/tCO2cor-responding to </t>
  </si>
  <si>
    <t xml:space="preserve">high purity sources such as the gasifier, </t>
  </si>
  <si>
    <t>DOI: 10.1016/j.ijggc.2017.03.020</t>
  </si>
  <si>
    <t>“A Techno-economic analysis and systematic review of carbon capture and storage"</t>
  </si>
  <si>
    <t>total</t>
  </si>
  <si>
    <t>Industry fraction capital</t>
  </si>
  <si>
    <t>Industry fraction electricity</t>
  </si>
  <si>
    <t>"Finally, the carbon dioxide is in a concentrated flow under a fairly high pressure at IGCC plants, so these plants have the lowest energy requirements (0.194 kWh/kg of CO2 processed)."</t>
  </si>
  <si>
    <t>David and Herzog note:</t>
  </si>
  <si>
    <t>And this explains the US model approach to Energy Use per Ton Sequestered (BTU/ton)</t>
  </si>
  <si>
    <t>For the California model, focusing initially on the higher concentration effluent streams, the lower energy requiremet is more appropriate.</t>
  </si>
  <si>
    <t>Transport and storage cost</t>
  </si>
  <si>
    <t>Industry fraction capital - US model</t>
  </si>
  <si>
    <t>Industry fraction OM - US model</t>
  </si>
  <si>
    <t>Capital fraction (subtotal)</t>
  </si>
  <si>
    <t>Capital (including transportation and storage)</t>
  </si>
  <si>
    <t>O&amp;M</t>
  </si>
  <si>
    <t xml:space="preserve">The base costs (P) at the start date are $39.4/tCO2 for calcium looping in the cement industry and $76.6/tCO2for post-combustion capture at the blast furnace, </t>
  </si>
  <si>
    <t xml:space="preserve">Leeson, D., N. MacDowell, N. Shah, C. Petit., P.S. Fennell. </t>
  </si>
  <si>
    <t xml:space="preserve"> International Journal of Greenhouse Gas Control, V61:71-84</t>
  </si>
  <si>
    <t>Not stated (sometime after 2012)</t>
  </si>
  <si>
    <t>2012-2017 cpi adjustment</t>
  </si>
  <si>
    <t>Electricity</t>
  </si>
  <si>
    <t>Code</t>
  </si>
  <si>
    <t>Program</t>
  </si>
  <si>
    <t>Positions</t>
  </si>
  <si>
    <t>Mobile Source</t>
  </si>
  <si>
    <t>Stationary Source</t>
  </si>
  <si>
    <t>Climate Change</t>
  </si>
  <si>
    <t>Subvention</t>
  </si>
  <si>
    <t>-</t>
  </si>
  <si>
    <t>Zero/Near Zero Emission Warehouse Program</t>
  </si>
  <si>
    <t>$-</t>
  </si>
  <si>
    <t>Community Air Protection</t>
  </si>
  <si>
    <t>Administration</t>
  </si>
  <si>
    <t>Administration - Distributed</t>
  </si>
  <si>
    <t>Totals, Positions and Expenditures (excluding Infrastructure)</t>
  </si>
  <si>
    <t>Infrastructure Expenditures</t>
  </si>
  <si>
    <t>Totals, Positions and All Expenditures</t>
  </si>
  <si>
    <t>Source</t>
  </si>
  <si>
    <t>http://www.ebudget.ca.gov/budget/publication/#/e/2018-19/Department/3900</t>
  </si>
  <si>
    <t>Dollars* (thousands)</t>
  </si>
  <si>
    <t xml:space="preserve">Fraction </t>
  </si>
  <si>
    <t>Capital</t>
  </si>
  <si>
    <t>Cost adder for cost of administration</t>
  </si>
  <si>
    <t>Below are background data showing cost of capture for high purity sources.</t>
  </si>
  <si>
    <t>These data are several years old, yet still show most costs below the $40/tCO2 identified as the input data level for the initial launch of the California EPS.</t>
  </si>
  <si>
    <t>For this reason, the California cost difference ratio is not applied, as there is this evidence which would lead one to expect lower prices.</t>
  </si>
  <si>
    <r>
      <t xml:space="preserve">Key excerpts below (using </t>
    </r>
    <r>
      <rPr>
        <b/>
        <sz val="11"/>
        <color theme="4" tint="-0.249977111117893"/>
        <rFont val="Calibri"/>
        <family val="2"/>
        <scheme val="minor"/>
      </rPr>
      <t xml:space="preserve">blue text </t>
    </r>
    <r>
      <rPr>
        <sz val="11"/>
        <color theme="1"/>
        <rFont val="Calibri"/>
        <family val="2"/>
        <scheme val="minor"/>
      </rPr>
      <t>for quotes):</t>
    </r>
  </si>
  <si>
    <t>Based on main source:</t>
  </si>
  <si>
    <t>https://www.cmu.edu/epp/iecm/rubin/PDF%20files/2015/Rubin_et_al_ThecostofCCS_IJGGC_2015.pdf</t>
  </si>
  <si>
    <t>Transport distance expected in California</t>
  </si>
  <si>
    <t>Transport distance assumed in the study</t>
  </si>
  <si>
    <t>Calculated scaling factor:</t>
  </si>
  <si>
    <t>$/tonne carbon dioxide</t>
  </si>
  <si>
    <t>Difference</t>
  </si>
  <si>
    <t>Millions</t>
  </si>
  <si>
    <t>Imputed cost per ton</t>
  </si>
  <si>
    <t>Initial Scoping Plan</t>
  </si>
  <si>
    <t>Output Total CO2e Emissions Excluding LULUCF : planned</t>
  </si>
  <si>
    <t>Transport cost</t>
  </si>
  <si>
    <t>About</t>
  </si>
  <si>
    <t>Find mean value for IPCC</t>
  </si>
  <si>
    <t>Find mean for IPCC (2005)</t>
  </si>
  <si>
    <t>Mean across studies</t>
  </si>
  <si>
    <t>Government cost estimate</t>
  </si>
  <si>
    <t>Cement or high quality opportunities in refineries and petrochemicals - full cost, all types of measured cost</t>
  </si>
  <si>
    <t>year</t>
  </si>
  <si>
    <t>scalar</t>
  </si>
  <si>
    <t>From CPI.xls</t>
  </si>
  <si>
    <t>Convert from 2013-2017</t>
  </si>
  <si>
    <t>2013-2017 cpi adjustment</t>
  </si>
  <si>
    <t xml:space="preserve">Storage </t>
  </si>
  <si>
    <t>CO2 storage (2013 USD/tCO2).</t>
  </si>
  <si>
    <t>CO2 storage (2017 USD/tCO2).</t>
  </si>
  <si>
    <t>Result (mean of high and low)</t>
  </si>
  <si>
    <t>Adjust for lower expected distance</t>
  </si>
  <si>
    <t>Scaled to shorter distance as explained below</t>
  </si>
  <si>
    <t>Final estimates</t>
  </si>
  <si>
    <t>Below, carry out assignment of costs to capital and labor as explained at sheet tabbed "Impute capital-O&amp;M fractions"</t>
  </si>
  <si>
    <t>O&amp;M fraction (subtotal)</t>
  </si>
  <si>
    <t>Eligible projects that begin construction within seven years of the enactment of the FUTURE Act (i.e., before January 1, 2024) can claim the credit for up to 12 years after the carbon capture equipment is placed in service.</t>
  </si>
  <si>
    <t>https://www.irs.gov/pub/irs-access/f8933_accessible.pdf</t>
  </si>
  <si>
    <t>Linear interpolation between $22.66 and $50…</t>
  </si>
  <si>
    <t>Stream of credits from project completed by end of 2023</t>
  </si>
  <si>
    <t>Fraction of overall tons receiving this level of support</t>
  </si>
  <si>
    <t>Reduction in average price by year</t>
  </si>
  <si>
    <t>Average of low and high</t>
  </si>
  <si>
    <t>Take midpoint for point estimate</t>
  </si>
  <si>
    <t>Tax credit - 45Q</t>
  </si>
  <si>
    <t>impute tax credit as $ per ton</t>
  </si>
  <si>
    <t>Periods ahead</t>
  </si>
  <si>
    <t>Implicit discount factor by year</t>
  </si>
  <si>
    <t>The approach taken produces only a very rough estimate.</t>
  </si>
  <si>
    <t>The ratioanle is that it is better to approximate and include than ignore completely.</t>
  </si>
  <si>
    <t>We look to develop a rough $ per ton cost.</t>
  </si>
  <si>
    <t>On the cost side, use the recent budget for the Climate Change Program at CARB.</t>
  </si>
  <si>
    <t>This amount to, in millions of dollars,</t>
  </si>
  <si>
    <t>Recent annual budget</t>
  </si>
  <si>
    <t>On the emission reduction side, use tons reduced in 2030 as the denominator</t>
  </si>
  <si>
    <t>This results in the following result:</t>
  </si>
  <si>
    <t>Assign these admin costs to capital and labor in proportion to weights estimated for overall cost</t>
  </si>
  <si>
    <t>AIR RESOURCES BOARD budget</t>
  </si>
  <si>
    <t xml:space="preserve">Calculate emission reductions </t>
  </si>
  <si>
    <t>Cost adjustment, if any</t>
  </si>
  <si>
    <t>After cost adjustment, if any</t>
  </si>
  <si>
    <t>US model data on shares between capital / O&amp;M</t>
  </si>
  <si>
    <t>transport and storage</t>
  </si>
  <si>
    <t>Convert to 2017 $s</t>
  </si>
  <si>
    <t>We scale the potential available to align with the supply available at a cost of approximately $40 per ton per year.</t>
  </si>
  <si>
    <t xml:space="preserve">The article does not define dollar values.  Dollar values are taken as $2017 values, the  same as the launch version of the model. </t>
  </si>
  <si>
    <t>Therefore, no CPI adjustment is needed.</t>
  </si>
  <si>
    <t>Estimate capture as "$39.4/tCO2 for calcium looping in the cement industry"</t>
  </si>
  <si>
    <t>Suppose mid-level costs are possible</t>
  </si>
  <si>
    <t>David and Herzog, used to determine the fraction of capital cost vs. O&amp;M cost.</t>
  </si>
  <si>
    <t>We are using 2012 values, not 2000 values, from Table 2 in David and Herzog.</t>
  </si>
  <si>
    <t>Sum of transportation and storage</t>
  </si>
  <si>
    <t>Convert to 2017 dolllars</t>
  </si>
  <si>
    <t>Grand total tons 2023-2030 across vintages</t>
  </si>
  <si>
    <t>Reductions from 2023 vintage projects in this year</t>
  </si>
  <si>
    <t>Discounted value - by year</t>
  </si>
  <si>
    <t xml:space="preserve">Note: a single approximation of the benefit from the 45Q tax credit is possible. The model does not adjust for different policy calibration. </t>
  </si>
  <si>
    <t xml:space="preserve">Annual addition to CCS.* </t>
  </si>
  <si>
    <t xml:space="preserve">* Note on Annual addition to CCS: Underlying calculations shown at the tab, "Additional potential cals," in the Carbon Sequestration Amounts master excel file. </t>
  </si>
  <si>
    <t>State of California</t>
  </si>
  <si>
    <t>2018-2019 state budget</t>
  </si>
  <si>
    <t>Used to approximate program implementation costs.</t>
  </si>
  <si>
    <t xml:space="preserve">Average annual discounted value </t>
  </si>
  <si>
    <t>(see, CPI.xls)</t>
  </si>
</sst>
</file>

<file path=xl/styles.xml><?xml version="1.0" encoding="utf-8"?>
<styleSheet xmlns="http://schemas.openxmlformats.org/spreadsheetml/2006/main" xmlns:mc="http://schemas.openxmlformats.org/markup-compatibility/2006" xmlns:x14ac="http://schemas.microsoft.com/office/spreadsheetml/2009/9/ac" mc:Ignorable="x14ac">
  <numFmts count="7">
    <numFmt numFmtId="6" formatCode="&quot;$&quot;#,##0_);[Red]\(&quot;$&quot;#,##0\)"/>
    <numFmt numFmtId="8" formatCode="&quot;$&quot;#,##0.00_);[Red]\(&quot;$&quot;#,##0.00\)"/>
    <numFmt numFmtId="44" formatCode="_(&quot;$&quot;* #,##0.00_);_(&quot;$&quot;* \(#,##0.00\);_(&quot;$&quot;* &quot;-&quot;??_);_(@_)"/>
    <numFmt numFmtId="43" formatCode="_(* #,##0.00_);_(* \(#,##0.00\);_(* &quot;-&quot;??_);_(@_)"/>
    <numFmt numFmtId="164" formatCode="&quot;$&quot;#,##0.00"/>
    <numFmt numFmtId="165" formatCode="0.000"/>
    <numFmt numFmtId="166" formatCode="0.0%"/>
  </numFmts>
  <fonts count="12" x14ac:knownFonts="1">
    <font>
      <sz val="11"/>
      <color theme="1"/>
      <name val="Calibri"/>
      <family val="2"/>
      <scheme val="minor"/>
    </font>
    <font>
      <sz val="11"/>
      <color theme="1"/>
      <name val="Calibri"/>
      <family val="2"/>
      <scheme val="minor"/>
    </font>
    <font>
      <b/>
      <sz val="11"/>
      <color theme="1"/>
      <name val="Calibri"/>
      <family val="2"/>
      <scheme val="minor"/>
    </font>
    <font>
      <u/>
      <sz val="11"/>
      <color theme="10"/>
      <name val="Calibri"/>
      <family val="2"/>
      <scheme val="minor"/>
    </font>
    <font>
      <b/>
      <sz val="10"/>
      <color rgb="FF000000"/>
      <name val="Arial"/>
      <family val="2"/>
    </font>
    <font>
      <u/>
      <sz val="11"/>
      <color theme="11"/>
      <name val="Calibri"/>
      <family val="2"/>
      <scheme val="minor"/>
    </font>
    <font>
      <u/>
      <sz val="11"/>
      <color theme="1"/>
      <name val="Calibri"/>
      <family val="2"/>
      <scheme val="minor"/>
    </font>
    <font>
      <sz val="12"/>
      <color theme="1"/>
      <name val="Calibri"/>
      <family val="2"/>
    </font>
    <font>
      <sz val="11"/>
      <color theme="1"/>
      <name val="Calibri"/>
      <family val="2"/>
    </font>
    <font>
      <u/>
      <sz val="11"/>
      <color rgb="FF0000FF"/>
      <name val="Calibri"/>
      <family val="2"/>
    </font>
    <font>
      <b/>
      <sz val="11"/>
      <color theme="4" tint="-0.249977111117893"/>
      <name val="Calibri"/>
      <family val="2"/>
      <scheme val="minor"/>
    </font>
    <font>
      <b/>
      <sz val="11"/>
      <color theme="1"/>
      <name val="Calibri"/>
      <family val="2"/>
    </font>
  </fonts>
  <fills count="6">
    <fill>
      <patternFill patternType="none"/>
    </fill>
    <fill>
      <patternFill patternType="gray125"/>
    </fill>
    <fill>
      <patternFill patternType="solid">
        <fgColor theme="0" tint="-0.249977111117893"/>
        <bgColor indexed="64"/>
      </patternFill>
    </fill>
    <fill>
      <patternFill patternType="solid">
        <fgColor theme="0" tint="-0.499984740745262"/>
        <bgColor indexed="64"/>
      </patternFill>
    </fill>
    <fill>
      <patternFill patternType="solid">
        <fgColor theme="6" tint="0.59999389629810485"/>
        <bgColor indexed="64"/>
      </patternFill>
    </fill>
    <fill>
      <patternFill patternType="solid">
        <fgColor rgb="FFFFFF00"/>
        <bgColor indexed="64"/>
      </patternFill>
    </fill>
  </fills>
  <borders count="9">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s>
  <cellStyleXfs count="9">
    <xf numFmtId="0" fontId="0" fillId="0" borderId="0"/>
    <xf numFmtId="44" fontId="1" fillId="0" borderId="0" applyFont="0" applyFill="0" applyBorder="0" applyAlignment="0" applyProtection="0"/>
    <xf numFmtId="0" fontId="3" fillId="0" borderId="0" applyNumberFormat="0" applyFill="0" applyBorder="0" applyAlignment="0" applyProtection="0"/>
    <xf numFmtId="9" fontId="1" fillId="0" borderId="0" applyFon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cellStyleXfs>
  <cellXfs count="61">
    <xf numFmtId="0" fontId="0" fillId="0" borderId="0" xfId="0"/>
    <xf numFmtId="0" fontId="2" fillId="0" borderId="0" xfId="0" applyFont="1"/>
    <xf numFmtId="0" fontId="3" fillId="0" borderId="0" xfId="2"/>
    <xf numFmtId="0" fontId="2" fillId="2" borderId="0" xfId="0" applyFont="1" applyFill="1"/>
    <xf numFmtId="0" fontId="0" fillId="2" borderId="0" xfId="0" applyFill="1"/>
    <xf numFmtId="0" fontId="0" fillId="0" borderId="0" xfId="0" applyFill="1"/>
    <xf numFmtId="0" fontId="2" fillId="0" borderId="1" xfId="0" applyFont="1" applyBorder="1"/>
    <xf numFmtId="0" fontId="2" fillId="0" borderId="2" xfId="0" applyFont="1" applyBorder="1" applyAlignment="1">
      <alignment horizontal="right"/>
    </xf>
    <xf numFmtId="0" fontId="2" fillId="0" borderId="3" xfId="0" applyFont="1" applyBorder="1" applyAlignment="1">
      <alignment horizontal="right"/>
    </xf>
    <xf numFmtId="0" fontId="2" fillId="0" borderId="4" xfId="0" applyFont="1" applyBorder="1"/>
    <xf numFmtId="0" fontId="2" fillId="0" borderId="0" xfId="0" applyFont="1" applyBorder="1"/>
    <xf numFmtId="0" fontId="2" fillId="0" borderId="5" xfId="0" applyFont="1" applyBorder="1"/>
    <xf numFmtId="0" fontId="2" fillId="2" borderId="4" xfId="0" applyFont="1" applyFill="1" applyBorder="1"/>
    <xf numFmtId="0" fontId="0" fillId="2" borderId="0" xfId="0" applyFill="1" applyBorder="1"/>
    <xf numFmtId="0" fontId="0" fillId="2" borderId="5" xfId="0" applyFill="1" applyBorder="1"/>
    <xf numFmtId="0" fontId="0" fillId="0" borderId="4" xfId="0" applyBorder="1"/>
    <xf numFmtId="0" fontId="0" fillId="0" borderId="0" xfId="0" applyBorder="1"/>
    <xf numFmtId="0" fontId="0" fillId="0" borderId="5" xfId="0" applyBorder="1"/>
    <xf numFmtId="0" fontId="2" fillId="2" borderId="0" xfId="0" applyFont="1" applyFill="1" applyBorder="1"/>
    <xf numFmtId="0" fontId="2" fillId="2" borderId="5" xfId="0" applyFont="1" applyFill="1" applyBorder="1"/>
    <xf numFmtId="0" fontId="0" fillId="0" borderId="6" xfId="0" applyBorder="1" applyAlignment="1">
      <alignment wrapText="1"/>
    </xf>
    <xf numFmtId="0" fontId="0" fillId="0" borderId="7" xfId="0" applyBorder="1"/>
    <xf numFmtId="0" fontId="0" fillId="0" borderId="8" xfId="0" applyBorder="1"/>
    <xf numFmtId="164" fontId="0" fillId="0" borderId="0" xfId="1" applyNumberFormat="1" applyFont="1"/>
    <xf numFmtId="0" fontId="4" fillId="2" borderId="0" xfId="0" applyFont="1" applyFill="1"/>
    <xf numFmtId="164" fontId="0" fillId="0" borderId="0" xfId="0" applyNumberFormat="1"/>
    <xf numFmtId="0" fontId="2" fillId="0" borderId="0" xfId="0" applyFont="1" applyFill="1"/>
    <xf numFmtId="2" fontId="0" fillId="0" borderId="0" xfId="0" applyNumberFormat="1"/>
    <xf numFmtId="0" fontId="0" fillId="0" borderId="0" xfId="0" applyAlignment="1">
      <alignment horizontal="right"/>
    </xf>
    <xf numFmtId="0" fontId="0" fillId="0" borderId="0" xfId="0" applyAlignment="1">
      <alignment wrapText="1"/>
    </xf>
    <xf numFmtId="0" fontId="0" fillId="0" borderId="0" xfId="0" applyAlignment="1">
      <alignment horizontal="left"/>
    </xf>
    <xf numFmtId="1" fontId="0" fillId="0" borderId="0" xfId="0" applyNumberFormat="1"/>
    <xf numFmtId="0" fontId="0" fillId="0" borderId="0" xfId="0" applyAlignment="1">
      <alignment horizontal="center"/>
    </xf>
    <xf numFmtId="0" fontId="6" fillId="0" borderId="0" xfId="0" applyFont="1"/>
    <xf numFmtId="0" fontId="6" fillId="0" borderId="0" xfId="0" applyFont="1" applyAlignment="1">
      <alignment horizontal="center"/>
    </xf>
    <xf numFmtId="0" fontId="0" fillId="0" borderId="0" xfId="0" applyFont="1" applyAlignment="1">
      <alignment horizontal="center"/>
    </xf>
    <xf numFmtId="165" fontId="0" fillId="0" borderId="0" xfId="0" applyNumberFormat="1"/>
    <xf numFmtId="0" fontId="7" fillId="0" borderId="0" xfId="0" applyFont="1" applyAlignment="1">
      <alignment vertical="center"/>
    </xf>
    <xf numFmtId="166" fontId="0" fillId="0" borderId="0" xfId="3" applyNumberFormat="1" applyFont="1"/>
    <xf numFmtId="0" fontId="3" fillId="0" borderId="0" xfId="2" applyAlignment="1">
      <alignment horizontal="left" vertical="center" indent="2"/>
    </xf>
    <xf numFmtId="0" fontId="0" fillId="3" borderId="0" xfId="0" applyFill="1"/>
    <xf numFmtId="164" fontId="0" fillId="3" borderId="0" xfId="1" applyNumberFormat="1" applyFont="1" applyFill="1"/>
    <xf numFmtId="0" fontId="2" fillId="3" borderId="0" xfId="0" applyFont="1" applyFill="1"/>
    <xf numFmtId="164" fontId="0" fillId="3" borderId="0" xfId="0" applyNumberFormat="1" applyFill="1"/>
    <xf numFmtId="0" fontId="8" fillId="0" borderId="0" xfId="0" applyFont="1" applyFill="1" applyBorder="1"/>
    <xf numFmtId="6" fontId="8" fillId="0" borderId="0" xfId="0" applyNumberFormat="1" applyFont="1" applyFill="1" applyBorder="1"/>
    <xf numFmtId="4" fontId="8" fillId="0" borderId="0" xfId="0" applyNumberFormat="1" applyFont="1" applyFill="1" applyBorder="1"/>
    <xf numFmtId="0" fontId="9" fillId="0" borderId="0" xfId="2" applyFont="1" applyFill="1" applyBorder="1"/>
    <xf numFmtId="6" fontId="8" fillId="4" borderId="0" xfId="0" applyNumberFormat="1" applyFont="1" applyFill="1" applyBorder="1"/>
    <xf numFmtId="44" fontId="0" fillId="0" borderId="0" xfId="0" applyNumberFormat="1"/>
    <xf numFmtId="0" fontId="10" fillId="0" borderId="0" xfId="0" applyFont="1" applyAlignment="1"/>
    <xf numFmtId="0" fontId="10" fillId="0" borderId="0" xfId="0" applyFont="1"/>
    <xf numFmtId="43" fontId="0" fillId="0" borderId="0" xfId="0" applyNumberFormat="1"/>
    <xf numFmtId="8" fontId="8" fillId="0" borderId="0" xfId="0" applyNumberFormat="1" applyFont="1" applyFill="1" applyBorder="1"/>
    <xf numFmtId="8" fontId="0" fillId="0" borderId="0" xfId="0" applyNumberFormat="1"/>
    <xf numFmtId="0" fontId="0" fillId="0" borderId="0" xfId="0" applyAlignment="1">
      <alignment horizontal="center" wrapText="1"/>
    </xf>
    <xf numFmtId="165" fontId="0" fillId="0" borderId="0" xfId="0" applyNumberFormat="1" applyAlignment="1">
      <alignment horizontal="center"/>
    </xf>
    <xf numFmtId="0" fontId="0" fillId="5" borderId="0" xfId="0" applyFill="1"/>
    <xf numFmtId="0" fontId="11" fillId="2" borderId="0" xfId="0" applyFont="1" applyFill="1" applyBorder="1"/>
    <xf numFmtId="0" fontId="0" fillId="0" borderId="0" xfId="0" applyAlignment="1">
      <alignment horizontal="left" vertical="top"/>
    </xf>
    <xf numFmtId="44" fontId="0" fillId="0" borderId="0" xfId="1" applyFont="1"/>
  </cellXfs>
  <cellStyles count="9">
    <cellStyle name="Currency" xfId="1" builtinId="4"/>
    <cellStyle name="Followed Hyperlink" xfId="4" builtinId="9" hidden="1"/>
    <cellStyle name="Followed Hyperlink" xfId="5" builtinId="9" hidden="1"/>
    <cellStyle name="Followed Hyperlink" xfId="6" builtinId="9" hidden="1"/>
    <cellStyle name="Followed Hyperlink" xfId="7" builtinId="9" hidden="1"/>
    <cellStyle name="Followed Hyperlink" xfId="8" builtinId="9" hidden="1"/>
    <cellStyle name="Hyperlink" xfId="2" builtinId="8"/>
    <cellStyle name="Normal" xfId="0" builtinId="0"/>
    <cellStyle name="Percent"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30</xdr:row>
      <xdr:rowOff>22225</xdr:rowOff>
    </xdr:from>
    <xdr:to>
      <xdr:col>9</xdr:col>
      <xdr:colOff>559312</xdr:colOff>
      <xdr:row>47</xdr:row>
      <xdr:rowOff>162093</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5613400"/>
          <a:ext cx="9750937" cy="33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25400</xdr:colOff>
      <xdr:row>5</xdr:row>
      <xdr:rowOff>50800</xdr:rowOff>
    </xdr:from>
    <xdr:to>
      <xdr:col>8</xdr:col>
      <xdr:colOff>127000</xdr:colOff>
      <xdr:row>22</xdr:row>
      <xdr:rowOff>152400</xdr:rowOff>
    </xdr:to>
    <xdr:pic>
      <xdr:nvPicPr>
        <xdr:cNvPr id="2" name="Picture 1"/>
        <xdr:cNvPicPr>
          <a:picLocks noChangeAspect="1"/>
        </xdr:cNvPicPr>
      </xdr:nvPicPr>
      <xdr:blipFill>
        <a:blip xmlns:r="http://schemas.openxmlformats.org/officeDocument/2006/relationships" r:embed="rId1"/>
        <a:stretch>
          <a:fillRect/>
        </a:stretch>
      </xdr:blipFill>
      <xdr:spPr>
        <a:xfrm>
          <a:off x="850900" y="1003300"/>
          <a:ext cx="5880100" cy="3340100"/>
        </a:xfrm>
        <a:prstGeom prst="rect">
          <a:avLst/>
        </a:prstGeom>
      </xdr:spPr>
    </xdr:pic>
    <xdr:clientData/>
  </xdr:twoCellAnchor>
  <xdr:twoCellAnchor editAs="oneCell">
    <xdr:from>
      <xdr:col>8</xdr:col>
      <xdr:colOff>215900</xdr:colOff>
      <xdr:row>6</xdr:row>
      <xdr:rowOff>0</xdr:rowOff>
    </xdr:from>
    <xdr:to>
      <xdr:col>15</xdr:col>
      <xdr:colOff>292100</xdr:colOff>
      <xdr:row>22</xdr:row>
      <xdr:rowOff>127000</xdr:rowOff>
    </xdr:to>
    <xdr:pic>
      <xdr:nvPicPr>
        <xdr:cNvPr id="3" name="Picture 2"/>
        <xdr:cNvPicPr>
          <a:picLocks noChangeAspect="1"/>
        </xdr:cNvPicPr>
      </xdr:nvPicPr>
      <xdr:blipFill>
        <a:blip xmlns:r="http://schemas.openxmlformats.org/officeDocument/2006/relationships" r:embed="rId2"/>
        <a:stretch>
          <a:fillRect/>
        </a:stretch>
      </xdr:blipFill>
      <xdr:spPr>
        <a:xfrm>
          <a:off x="6819900" y="1143000"/>
          <a:ext cx="5854700" cy="3175000"/>
        </a:xfrm>
        <a:prstGeom prst="rect">
          <a:avLst/>
        </a:prstGeom>
      </xdr:spPr>
    </xdr:pic>
    <xdr:clientData/>
  </xdr:twoCellAnchor>
  <xdr:twoCellAnchor editAs="oneCell">
    <xdr:from>
      <xdr:col>1</xdr:col>
      <xdr:colOff>25400</xdr:colOff>
      <xdr:row>23</xdr:row>
      <xdr:rowOff>0</xdr:rowOff>
    </xdr:from>
    <xdr:to>
      <xdr:col>8</xdr:col>
      <xdr:colOff>63500</xdr:colOff>
      <xdr:row>40</xdr:row>
      <xdr:rowOff>50800</xdr:rowOff>
    </xdr:to>
    <xdr:pic>
      <xdr:nvPicPr>
        <xdr:cNvPr id="4" name="Picture 3"/>
        <xdr:cNvPicPr>
          <a:picLocks noChangeAspect="1"/>
        </xdr:cNvPicPr>
      </xdr:nvPicPr>
      <xdr:blipFill>
        <a:blip xmlns:r="http://schemas.openxmlformats.org/officeDocument/2006/relationships" r:embed="rId3"/>
        <a:stretch>
          <a:fillRect/>
        </a:stretch>
      </xdr:blipFill>
      <xdr:spPr>
        <a:xfrm>
          <a:off x="850900" y="4381500"/>
          <a:ext cx="5816600" cy="3289300"/>
        </a:xfrm>
        <a:prstGeom prst="rect">
          <a:avLst/>
        </a:prstGeom>
      </xdr:spPr>
    </xdr:pic>
    <xdr:clientData/>
  </xdr:twoCellAnchor>
  <xdr:twoCellAnchor editAs="oneCell">
    <xdr:from>
      <xdr:col>8</xdr:col>
      <xdr:colOff>203200</xdr:colOff>
      <xdr:row>23</xdr:row>
      <xdr:rowOff>0</xdr:rowOff>
    </xdr:from>
    <xdr:to>
      <xdr:col>15</xdr:col>
      <xdr:colOff>304800</xdr:colOff>
      <xdr:row>40</xdr:row>
      <xdr:rowOff>63500</xdr:rowOff>
    </xdr:to>
    <xdr:pic>
      <xdr:nvPicPr>
        <xdr:cNvPr id="5" name="Picture 4"/>
        <xdr:cNvPicPr>
          <a:picLocks noChangeAspect="1"/>
        </xdr:cNvPicPr>
      </xdr:nvPicPr>
      <xdr:blipFill>
        <a:blip xmlns:r="http://schemas.openxmlformats.org/officeDocument/2006/relationships" r:embed="rId4"/>
        <a:stretch>
          <a:fillRect/>
        </a:stretch>
      </xdr:blipFill>
      <xdr:spPr>
        <a:xfrm>
          <a:off x="6807200" y="4381500"/>
          <a:ext cx="5880100" cy="3302000"/>
        </a:xfrm>
        <a:prstGeom prst="rect">
          <a:avLst/>
        </a:prstGeom>
      </xdr:spPr>
    </xdr:pic>
    <xdr:clientData/>
  </xdr:twoCellAnchor>
  <xdr:twoCellAnchor editAs="oneCell">
    <xdr:from>
      <xdr:col>1</xdr:col>
      <xdr:colOff>25400</xdr:colOff>
      <xdr:row>40</xdr:row>
      <xdr:rowOff>101600</xdr:rowOff>
    </xdr:from>
    <xdr:to>
      <xdr:col>8</xdr:col>
      <xdr:colOff>63500</xdr:colOff>
      <xdr:row>57</xdr:row>
      <xdr:rowOff>0</xdr:rowOff>
    </xdr:to>
    <xdr:pic>
      <xdr:nvPicPr>
        <xdr:cNvPr id="6" name="Picture 5"/>
        <xdr:cNvPicPr>
          <a:picLocks noChangeAspect="1"/>
        </xdr:cNvPicPr>
      </xdr:nvPicPr>
      <xdr:blipFill>
        <a:blip xmlns:r="http://schemas.openxmlformats.org/officeDocument/2006/relationships" r:embed="rId5"/>
        <a:stretch>
          <a:fillRect/>
        </a:stretch>
      </xdr:blipFill>
      <xdr:spPr>
        <a:xfrm>
          <a:off x="850900" y="7721600"/>
          <a:ext cx="5816600" cy="3136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s://www.cmu.edu/epp/iecm/rubin/PDF%20files/2015/Rubin_et_al_ThecostofCCS_IJGGC_2015.pdf" TargetMode="External"/><Relationship Id="rId2" Type="http://schemas.openxmlformats.org/officeDocument/2006/relationships/hyperlink" Target="http://sequestration.mit.edu/pdf/David_and_Herzog.pdf" TargetMode="External"/><Relationship Id="rId1" Type="http://schemas.openxmlformats.org/officeDocument/2006/relationships/hyperlink" Target="https://www.netl.doe.gov/File%20Library/Research/Coal/carbon-storage/atlasv/ATLAS-V-2015.pdf" TargetMode="External"/><Relationship Id="rId6" Type="http://schemas.openxmlformats.org/officeDocument/2006/relationships/printerSettings" Target="../printerSettings/printerSettings1.bin"/><Relationship Id="rId5" Type="http://schemas.openxmlformats.org/officeDocument/2006/relationships/hyperlink" Target="http://www.ebudget.ca.gov/budget/publication/" TargetMode="External"/><Relationship Id="rId4" Type="http://schemas.openxmlformats.org/officeDocument/2006/relationships/hyperlink" Target="http://www.ebudget.ca.gov/budget/publication/"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hyperlink" Target="https://www.irs.gov/pub/irs-access/f8933_accessible.pdf" TargetMode="External"/></Relationships>
</file>

<file path=xl/worksheets/_rels/sheet9.xml.rels><?xml version="1.0" encoding="UTF-8" standalone="yes"?>
<Relationships xmlns="http://schemas.openxmlformats.org/package/2006/relationships"><Relationship Id="rId1" Type="http://schemas.openxmlformats.org/officeDocument/2006/relationships/hyperlink" Target="http://www.ebudget.ca.gov/budget/publicatio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7"/>
  <sheetViews>
    <sheetView tabSelected="1" workbookViewId="0">
      <selection activeCell="A15" sqref="A15:XFD15"/>
    </sheetView>
  </sheetViews>
  <sheetFormatPr defaultColWidth="8.86328125" defaultRowHeight="14.25" x14ac:dyDescent="0.45"/>
  <cols>
    <col min="2" max="2" width="55.86328125" customWidth="1"/>
    <col min="4" max="4" width="30.3984375" customWidth="1"/>
  </cols>
  <sheetData>
    <row r="1" spans="1:5" ht="15" x14ac:dyDescent="0.2">
      <c r="A1" s="26" t="s">
        <v>62</v>
      </c>
    </row>
    <row r="2" spans="1:5" ht="14.45" x14ac:dyDescent="0.35">
      <c r="A2" s="26" t="s">
        <v>53</v>
      </c>
    </row>
    <row r="3" spans="1:5" ht="15" x14ac:dyDescent="0.2">
      <c r="A3" s="26" t="s">
        <v>54</v>
      </c>
    </row>
    <row r="5" spans="1:5" x14ac:dyDescent="0.45">
      <c r="A5" s="1" t="s">
        <v>0</v>
      </c>
      <c r="B5" t="s">
        <v>123</v>
      </c>
      <c r="E5" s="39"/>
    </row>
    <row r="6" spans="1:5" x14ac:dyDescent="0.45">
      <c r="B6" s="59">
        <v>2017</v>
      </c>
    </row>
    <row r="7" spans="1:5" x14ac:dyDescent="0.45">
      <c r="B7" t="s">
        <v>108</v>
      </c>
    </row>
    <row r="8" spans="1:5" x14ac:dyDescent="0.45">
      <c r="B8" t="s">
        <v>124</v>
      </c>
    </row>
    <row r="9" spans="1:5" x14ac:dyDescent="0.45">
      <c r="B9" t="s">
        <v>107</v>
      </c>
    </row>
    <row r="11" spans="1:5" x14ac:dyDescent="0.45">
      <c r="A11" s="1" t="s">
        <v>0</v>
      </c>
      <c r="B11" t="s">
        <v>1</v>
      </c>
    </row>
    <row r="12" spans="1:5" ht="14.45" x14ac:dyDescent="0.35">
      <c r="B12" t="s">
        <v>125</v>
      </c>
    </row>
    <row r="13" spans="1:5" ht="14.45" x14ac:dyDescent="0.35">
      <c r="B13" t="s">
        <v>2</v>
      </c>
    </row>
    <row r="14" spans="1:5" ht="14.45" x14ac:dyDescent="0.35">
      <c r="B14" s="2" t="s">
        <v>3</v>
      </c>
    </row>
    <row r="16" spans="1:5" ht="14.45" x14ac:dyDescent="0.35">
      <c r="A16" s="1" t="s">
        <v>55</v>
      </c>
      <c r="B16" t="s">
        <v>219</v>
      </c>
    </row>
    <row r="17" spans="1:2" x14ac:dyDescent="0.45">
      <c r="B17" t="s">
        <v>220</v>
      </c>
    </row>
    <row r="18" spans="1:2" ht="15" x14ac:dyDescent="0.2">
      <c r="B18" t="s">
        <v>56</v>
      </c>
    </row>
    <row r="19" spans="1:2" ht="15" x14ac:dyDescent="0.2">
      <c r="B19" t="s">
        <v>57</v>
      </c>
    </row>
    <row r="20" spans="1:2" ht="15" x14ac:dyDescent="0.2"/>
    <row r="21" spans="1:2" x14ac:dyDescent="0.45">
      <c r="B21" t="s">
        <v>60</v>
      </c>
    </row>
    <row r="22" spans="1:2" ht="15" x14ac:dyDescent="0.2">
      <c r="B22" t="s">
        <v>61</v>
      </c>
    </row>
    <row r="23" spans="1:2" ht="15" x14ac:dyDescent="0.2"/>
    <row r="24" spans="1:2" x14ac:dyDescent="0.45">
      <c r="B24" t="s">
        <v>68</v>
      </c>
    </row>
    <row r="25" spans="1:2" ht="15" x14ac:dyDescent="0.2">
      <c r="B25" t="s">
        <v>69</v>
      </c>
    </row>
    <row r="26" spans="1:2" ht="15" x14ac:dyDescent="0.2"/>
    <row r="27" spans="1:2" ht="15" x14ac:dyDescent="0.2">
      <c r="A27" s="1" t="s">
        <v>0</v>
      </c>
      <c r="B27" t="s">
        <v>94</v>
      </c>
    </row>
    <row r="28" spans="1:2" ht="15" x14ac:dyDescent="0.2">
      <c r="B28" s="30">
        <v>2015</v>
      </c>
    </row>
    <row r="29" spans="1:2" ht="15" x14ac:dyDescent="0.2">
      <c r="B29" t="s">
        <v>95</v>
      </c>
    </row>
    <row r="30" spans="1:2" x14ac:dyDescent="0.45">
      <c r="B30" t="s">
        <v>96</v>
      </c>
    </row>
    <row r="31" spans="1:2" x14ac:dyDescent="0.45">
      <c r="B31" s="2" t="s">
        <v>97</v>
      </c>
    </row>
    <row r="33" spans="1:2" x14ac:dyDescent="0.45">
      <c r="A33" s="1" t="s">
        <v>55</v>
      </c>
    </row>
    <row r="34" spans="1:2" x14ac:dyDescent="0.45">
      <c r="A34" t="s">
        <v>98</v>
      </c>
    </row>
    <row r="36" spans="1:2" x14ac:dyDescent="0.45">
      <c r="A36" s="1" t="s">
        <v>0</v>
      </c>
      <c r="B36" t="s">
        <v>72</v>
      </c>
    </row>
    <row r="37" spans="1:2" x14ac:dyDescent="0.45">
      <c r="B37" s="30">
        <v>2015</v>
      </c>
    </row>
    <row r="38" spans="1:2" x14ac:dyDescent="0.45">
      <c r="B38" t="s">
        <v>73</v>
      </c>
    </row>
    <row r="39" spans="1:2" x14ac:dyDescent="0.45">
      <c r="B39" t="s">
        <v>74</v>
      </c>
    </row>
    <row r="40" spans="1:2" x14ac:dyDescent="0.45">
      <c r="B40" s="2" t="s">
        <v>155</v>
      </c>
    </row>
    <row r="41" spans="1:2" x14ac:dyDescent="0.45">
      <c r="A41" s="1" t="s">
        <v>55</v>
      </c>
      <c r="B41" t="s">
        <v>75</v>
      </c>
    </row>
    <row r="43" spans="1:2" x14ac:dyDescent="0.45">
      <c r="A43" t="s">
        <v>0</v>
      </c>
      <c r="B43" t="s">
        <v>229</v>
      </c>
    </row>
    <row r="44" spans="1:2" x14ac:dyDescent="0.45">
      <c r="B44" s="59" t="s">
        <v>230</v>
      </c>
    </row>
    <row r="45" spans="1:2" x14ac:dyDescent="0.45">
      <c r="B45" s="47" t="s">
        <v>145</v>
      </c>
    </row>
    <row r="47" spans="1:2" x14ac:dyDescent="0.45">
      <c r="A47" s="1" t="s">
        <v>55</v>
      </c>
      <c r="B47" t="s">
        <v>231</v>
      </c>
    </row>
  </sheetData>
  <hyperlinks>
    <hyperlink ref="B31" r:id="rId1"/>
    <hyperlink ref="B14" r:id="rId2"/>
    <hyperlink ref="B40" r:id="rId3" display="https://www.cmu.edu/epp/iecm/rubin/PDF files/2015/Rubin_et_al_ThecostofCCS_IJGGC_2015.pdf"/>
    <hyperlink ref="B44" r:id="rId4" location="/e/2018-19/Department/3900" display="http://www.ebudget.ca.gov/budget/publication/ - /e/2018-19/Department/3900"/>
    <hyperlink ref="B45" r:id="rId5" location="/e/2018-19/Department/3900" display="http://www.ebudget.ca.gov/budget/publication/ - /e/2018-19/Department/3900"/>
  </hyperlinks>
  <pageMargins left="0.7" right="0.7" top="0.75" bottom="0.75" header="0.3" footer="0.3"/>
  <pageSetup orientation="portrait" horizontalDpi="1200" verticalDpi="1200" r:id="rId6"/>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9"/>
  <sheetViews>
    <sheetView workbookViewId="0">
      <selection activeCell="B7" sqref="B7"/>
    </sheetView>
  </sheetViews>
  <sheetFormatPr defaultRowHeight="14.25" x14ac:dyDescent="0.45"/>
  <cols>
    <col min="1" max="1" width="59.59765625" bestFit="1" customWidth="1"/>
    <col min="2" max="2" width="33.1328125" customWidth="1"/>
  </cols>
  <sheetData>
    <row r="1" spans="1:4" ht="14.45" x14ac:dyDescent="0.35">
      <c r="A1" t="s">
        <v>120</v>
      </c>
      <c r="B1" s="25">
        <f>$D$12+D15+D22</f>
        <v>47.9755008648971</v>
      </c>
      <c r="C1" s="25"/>
      <c r="D1" s="25"/>
    </row>
    <row r="2" spans="1:4" ht="14.45" x14ac:dyDescent="0.35">
      <c r="A2" t="s">
        <v>121</v>
      </c>
      <c r="B2" s="25">
        <f>$D$13+D16+D19+D23</f>
        <v>1.947685443596527</v>
      </c>
      <c r="C2" s="25"/>
      <c r="D2" s="25"/>
    </row>
    <row r="3" spans="1:4" ht="14.45" x14ac:dyDescent="0.35">
      <c r="B3" s="25"/>
      <c r="C3" s="25"/>
      <c r="D3" s="25"/>
    </row>
    <row r="4" spans="1:4" ht="14.45" x14ac:dyDescent="0.35">
      <c r="B4" s="25"/>
      <c r="C4" s="25"/>
      <c r="D4" s="25"/>
    </row>
    <row r="5" spans="1:4" ht="14.45" x14ac:dyDescent="0.35">
      <c r="A5" t="s">
        <v>184</v>
      </c>
      <c r="B5" s="25"/>
      <c r="C5" s="25"/>
      <c r="D5" s="25"/>
    </row>
    <row r="6" spans="1:4" ht="14.45" x14ac:dyDescent="0.35">
      <c r="B6" s="25"/>
      <c r="C6" s="25"/>
      <c r="D6" s="25"/>
    </row>
    <row r="7" spans="1:4" ht="29.1" x14ac:dyDescent="0.35">
      <c r="A7" s="29" t="s">
        <v>171</v>
      </c>
      <c r="B7" s="25">
        <f>'Capture cost'!$B$17</f>
        <v>39.4</v>
      </c>
      <c r="C7" s="25"/>
      <c r="D7" s="25"/>
    </row>
    <row r="8" spans="1:4" ht="14.45" x14ac:dyDescent="0.35">
      <c r="A8" t="s">
        <v>209</v>
      </c>
      <c r="B8" s="31">
        <v>1</v>
      </c>
      <c r="C8" s="25"/>
      <c r="D8" s="25"/>
    </row>
    <row r="9" spans="1:4" ht="14.45" x14ac:dyDescent="0.35">
      <c r="B9" s="25"/>
      <c r="C9" s="25"/>
      <c r="D9" s="25"/>
    </row>
    <row r="10" spans="1:4" ht="14.45" x14ac:dyDescent="0.35">
      <c r="B10" s="25"/>
      <c r="C10" s="25"/>
      <c r="D10" s="25"/>
    </row>
    <row r="11" spans="1:4" ht="14.45" x14ac:dyDescent="0.35">
      <c r="A11" t="s">
        <v>210</v>
      </c>
      <c r="B11" s="25">
        <f>B7*B8</f>
        <v>39.4</v>
      </c>
      <c r="C11" s="25"/>
      <c r="D11" s="25"/>
    </row>
    <row r="12" spans="1:4" s="25" customFormat="1" ht="14.45" x14ac:dyDescent="0.35">
      <c r="B12" s="25" t="s">
        <v>119</v>
      </c>
      <c r="D12" s="25">
        <f>B28*B11</f>
        <v>37.990917334343244</v>
      </c>
    </row>
    <row r="13" spans="1:4" ht="14.45" x14ac:dyDescent="0.35">
      <c r="B13" s="25" t="s">
        <v>185</v>
      </c>
      <c r="C13" s="25"/>
      <c r="D13" s="25">
        <f>B29*B11</f>
        <v>1.4090826656567548</v>
      </c>
    </row>
    <row r="14" spans="1:4" ht="14.45" x14ac:dyDescent="0.35">
      <c r="A14" t="s">
        <v>116</v>
      </c>
      <c r="B14" s="23">
        <f>'Rubin et al.-transport&amp;storage'!$B$1</f>
        <v>11.439110059376997</v>
      </c>
      <c r="C14" s="25"/>
      <c r="D14" s="25"/>
    </row>
    <row r="15" spans="1:4" ht="14.45" x14ac:dyDescent="0.35">
      <c r="B15" s="25" t="s">
        <v>119</v>
      </c>
      <c r="C15" s="25"/>
      <c r="D15" s="25">
        <f>B14*B28</f>
        <v>11.030007224473243</v>
      </c>
    </row>
    <row r="16" spans="1:4" ht="14.45" x14ac:dyDescent="0.35">
      <c r="B16" s="25" t="s">
        <v>185</v>
      </c>
      <c r="C16" s="25"/>
      <c r="D16" s="25">
        <f>B29*B14</f>
        <v>0.40910283490375476</v>
      </c>
    </row>
    <row r="17" spans="1:4" ht="14.45" x14ac:dyDescent="0.35">
      <c r="A17" t="s">
        <v>170</v>
      </c>
      <c r="B17" s="25"/>
      <c r="C17" s="25"/>
      <c r="D17" s="25"/>
    </row>
    <row r="18" spans="1:4" ht="14.45" x14ac:dyDescent="0.35">
      <c r="B18" s="25" t="s">
        <v>119</v>
      </c>
      <c r="C18" s="25"/>
      <c r="D18" s="25">
        <f>B28*'Cost to administer policy'!B12</f>
        <v>4.5369304384086666</v>
      </c>
    </row>
    <row r="19" spans="1:4" ht="14.45" x14ac:dyDescent="0.35">
      <c r="B19" s="25" t="s">
        <v>185</v>
      </c>
      <c r="C19" s="25"/>
      <c r="D19" s="25">
        <f>B29*'Cost to administer policy'!B12</f>
        <v>0.16827469523282751</v>
      </c>
    </row>
    <row r="21" spans="1:4" x14ac:dyDescent="0.45">
      <c r="A21" t="s">
        <v>194</v>
      </c>
      <c r="B21" s="23">
        <f>-'45Q tax credit'!E35</f>
        <v>-1.0841984461161964</v>
      </c>
    </row>
    <row r="22" spans="1:4" x14ac:dyDescent="0.45">
      <c r="B22" s="25" t="s">
        <v>119</v>
      </c>
      <c r="D22" s="25">
        <f>B21*B28</f>
        <v>-1.0454236939193862</v>
      </c>
    </row>
    <row r="23" spans="1:4" x14ac:dyDescent="0.45">
      <c r="B23" s="25" t="s">
        <v>185</v>
      </c>
      <c r="D23" s="25">
        <f>B21*B29</f>
        <v>-3.8774752196810196E-2</v>
      </c>
    </row>
    <row r="27" spans="1:4" x14ac:dyDescent="0.45">
      <c r="A27" s="1" t="s">
        <v>211</v>
      </c>
    </row>
    <row r="28" spans="1:4" x14ac:dyDescent="0.45">
      <c r="A28" t="s">
        <v>117</v>
      </c>
      <c r="B28">
        <f>'Impute capital-O&amp;M fractions'!B13</f>
        <v>0.96423648056708744</v>
      </c>
    </row>
    <row r="29" spans="1:4" x14ac:dyDescent="0.45">
      <c r="A29" t="s">
        <v>118</v>
      </c>
      <c r="B29">
        <f>'Impute capital-O&amp;M fractions'!B14</f>
        <v>3.5763519432912561E-2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3"/>
  </sheetPr>
  <dimension ref="A1:B4"/>
  <sheetViews>
    <sheetView workbookViewId="0">
      <selection activeCell="B2" sqref="B2:B3"/>
    </sheetView>
  </sheetViews>
  <sheetFormatPr defaultColWidth="8.86328125" defaultRowHeight="14.25" x14ac:dyDescent="0.45"/>
  <cols>
    <col min="1" max="1" width="19.3984375" customWidth="1"/>
    <col min="2" max="2" width="24.3984375" customWidth="1"/>
  </cols>
  <sheetData>
    <row r="1" spans="1:2" x14ac:dyDescent="0.2">
      <c r="B1" s="28" t="s">
        <v>63</v>
      </c>
    </row>
    <row r="2" spans="1:2" x14ac:dyDescent="0.2">
      <c r="A2" t="s">
        <v>58</v>
      </c>
      <c r="B2" s="27">
        <f>'Electricity demand and cost'!$E$8</f>
        <v>56.127667876324153</v>
      </c>
    </row>
    <row r="3" spans="1:2" x14ac:dyDescent="0.2">
      <c r="A3" t="s">
        <v>59</v>
      </c>
      <c r="B3" s="27">
        <f>'Aggregation of cost inputs'!$B$1</f>
        <v>47.9755008648971</v>
      </c>
    </row>
    <row r="4" spans="1:2" x14ac:dyDescent="0.2">
      <c r="B4" s="31"/>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3"/>
  </sheetPr>
  <dimension ref="A1:B4"/>
  <sheetViews>
    <sheetView workbookViewId="0">
      <selection activeCell="A24" sqref="A24"/>
    </sheetView>
  </sheetViews>
  <sheetFormatPr defaultColWidth="8.86328125" defaultRowHeight="14.25" x14ac:dyDescent="0.45"/>
  <cols>
    <col min="1" max="1" width="19.1328125" customWidth="1"/>
    <col min="2" max="2" width="25.86328125" customWidth="1"/>
  </cols>
  <sheetData>
    <row r="1" spans="1:2" x14ac:dyDescent="0.2">
      <c r="B1" s="28" t="s">
        <v>65</v>
      </c>
    </row>
    <row r="2" spans="1:2" x14ac:dyDescent="0.2">
      <c r="A2" t="s">
        <v>58</v>
      </c>
      <c r="B2" s="27">
        <f>'Electricity demand and cost'!$B$15</f>
        <v>2.39</v>
      </c>
    </row>
    <row r="3" spans="1:2" x14ac:dyDescent="0.2">
      <c r="A3" t="s">
        <v>59</v>
      </c>
      <c r="B3" s="27">
        <f>'Aggregation of cost inputs'!$B$2</f>
        <v>1.947685443596527</v>
      </c>
    </row>
    <row r="4" spans="1:2" x14ac:dyDescent="0.2">
      <c r="B4" s="27"/>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3"/>
  </sheetPr>
  <dimension ref="A1:B4"/>
  <sheetViews>
    <sheetView workbookViewId="0">
      <selection activeCell="B37" sqref="B37"/>
    </sheetView>
  </sheetViews>
  <sheetFormatPr defaultColWidth="8.86328125" defaultRowHeight="14.25" x14ac:dyDescent="0.45"/>
  <cols>
    <col min="1" max="1" width="19" customWidth="1"/>
    <col min="2" max="2" width="42.3984375" customWidth="1"/>
  </cols>
  <sheetData>
    <row r="1" spans="1:2" x14ac:dyDescent="0.2">
      <c r="B1" s="28" t="s">
        <v>67</v>
      </c>
    </row>
    <row r="2" spans="1:2" x14ac:dyDescent="0.2">
      <c r="A2" t="s">
        <v>58</v>
      </c>
      <c r="B2">
        <f>'Electricity demand and cost'!$B$23</f>
        <v>460620</v>
      </c>
    </row>
    <row r="3" spans="1:2" x14ac:dyDescent="0.2">
      <c r="A3" t="s">
        <v>59</v>
      </c>
      <c r="B3">
        <f>'Electricity demand and cost'!$B$23</f>
        <v>460620</v>
      </c>
    </row>
    <row r="4" spans="1:2" x14ac:dyDescent="0.2">
      <c r="B4" s="3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1"/>
  <sheetViews>
    <sheetView workbookViewId="0">
      <selection activeCell="A23" sqref="A23"/>
    </sheetView>
  </sheetViews>
  <sheetFormatPr defaultRowHeight="14.25" x14ac:dyDescent="0.45"/>
  <cols>
    <col min="1" max="1" width="64.73046875" customWidth="1"/>
  </cols>
  <sheetData>
    <row r="1" spans="1:9" ht="14.45" x14ac:dyDescent="0.35">
      <c r="A1" t="s">
        <v>154</v>
      </c>
    </row>
    <row r="2" spans="1:9" ht="15.75" x14ac:dyDescent="0.45">
      <c r="A2" s="37" t="s">
        <v>108</v>
      </c>
      <c r="B2" s="37"/>
    </row>
    <row r="3" spans="1:9" ht="15.6" x14ac:dyDescent="0.35">
      <c r="B3" s="37"/>
    </row>
    <row r="4" spans="1:9" ht="14.45" x14ac:dyDescent="0.35">
      <c r="A4" t="s">
        <v>153</v>
      </c>
    </row>
    <row r="5" spans="1:9" ht="14.45" x14ac:dyDescent="0.35">
      <c r="A5" s="50" t="s">
        <v>122</v>
      </c>
      <c r="B5" s="51"/>
      <c r="C5" s="51"/>
      <c r="D5" s="51"/>
      <c r="E5" s="51"/>
      <c r="F5" s="51"/>
      <c r="G5" s="51"/>
      <c r="H5" s="51"/>
      <c r="I5" s="51"/>
    </row>
    <row r="6" spans="1:9" ht="14.45" x14ac:dyDescent="0.35">
      <c r="A6" s="51" t="s">
        <v>103</v>
      </c>
      <c r="B6" s="51"/>
      <c r="C6" s="51"/>
      <c r="D6" s="51"/>
      <c r="E6" s="51"/>
      <c r="F6" s="51"/>
      <c r="G6" s="51"/>
      <c r="H6" s="51"/>
      <c r="I6" s="51"/>
    </row>
    <row r="7" spans="1:9" ht="14.45" x14ac:dyDescent="0.35">
      <c r="A7" s="51" t="s">
        <v>105</v>
      </c>
      <c r="B7" s="51"/>
      <c r="C7" s="51"/>
      <c r="D7" s="51"/>
      <c r="E7" s="51"/>
      <c r="F7" s="51"/>
      <c r="G7" s="51"/>
      <c r="H7" s="51"/>
      <c r="I7" s="51"/>
    </row>
    <row r="8" spans="1:9" ht="14.45" x14ac:dyDescent="0.35">
      <c r="A8" s="51" t="s">
        <v>106</v>
      </c>
      <c r="B8" s="51"/>
      <c r="C8" s="51"/>
      <c r="D8" s="51"/>
      <c r="E8" s="51"/>
      <c r="F8" s="51"/>
      <c r="G8" s="51"/>
      <c r="H8" s="51"/>
      <c r="I8" s="51"/>
    </row>
    <row r="9" spans="1:9" ht="14.45" x14ac:dyDescent="0.35">
      <c r="A9" s="51" t="s">
        <v>104</v>
      </c>
      <c r="B9" s="51"/>
      <c r="C9" s="51"/>
      <c r="D9" s="51"/>
      <c r="E9" s="51"/>
      <c r="F9" s="51"/>
      <c r="G9" s="51"/>
      <c r="H9" s="51"/>
      <c r="I9" s="51"/>
    </row>
    <row r="11" spans="1:9" ht="14.45" x14ac:dyDescent="0.35">
      <c r="A11" t="s">
        <v>214</v>
      </c>
    </row>
    <row r="13" spans="1:9" ht="14.45" x14ac:dyDescent="0.35">
      <c r="A13" t="s">
        <v>215</v>
      </c>
    </row>
    <row r="15" spans="1:9" ht="14.45" x14ac:dyDescent="0.35">
      <c r="A15" t="s">
        <v>216</v>
      </c>
    </row>
    <row r="17" spans="1:2" ht="14.45" x14ac:dyDescent="0.35">
      <c r="A17" t="s">
        <v>217</v>
      </c>
      <c r="B17">
        <v>39.4</v>
      </c>
    </row>
    <row r="19" spans="1:2" ht="14.45" x14ac:dyDescent="0.35">
      <c r="A19" t="s">
        <v>150</v>
      </c>
    </row>
    <row r="20" spans="1:2" ht="14.45" x14ac:dyDescent="0.35">
      <c r="A20" t="s">
        <v>151</v>
      </c>
    </row>
    <row r="21" spans="1:2" x14ac:dyDescent="0.45">
      <c r="A21" t="s">
        <v>152</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37"/>
  <sheetViews>
    <sheetView workbookViewId="0">
      <selection activeCell="L3" sqref="I3:L3"/>
    </sheetView>
  </sheetViews>
  <sheetFormatPr defaultColWidth="8.86328125" defaultRowHeight="14.25" x14ac:dyDescent="0.45"/>
  <cols>
    <col min="1" max="1" width="31.3984375" customWidth="1"/>
    <col min="2" max="2" width="10.3984375" customWidth="1"/>
    <col min="3" max="3" width="11.3984375" customWidth="1"/>
    <col min="4" max="4" width="9.1328125" customWidth="1"/>
  </cols>
  <sheetData>
    <row r="1" spans="1:12" ht="15" x14ac:dyDescent="0.2">
      <c r="A1" t="s">
        <v>37</v>
      </c>
    </row>
    <row r="2" spans="1:12" ht="14.65" thickBot="1" x14ac:dyDescent="0.5"/>
    <row r="3" spans="1:12" x14ac:dyDescent="0.45">
      <c r="A3" s="6" t="s">
        <v>6</v>
      </c>
      <c r="B3" s="7" t="s">
        <v>7</v>
      </c>
      <c r="C3" s="7" t="s">
        <v>7</v>
      </c>
      <c r="D3" s="7" t="s">
        <v>8</v>
      </c>
      <c r="E3" s="7" t="s">
        <v>8</v>
      </c>
      <c r="F3" s="7" t="s">
        <v>9</v>
      </c>
      <c r="G3" s="8" t="s">
        <v>9</v>
      </c>
      <c r="I3" s="12" t="s">
        <v>38</v>
      </c>
      <c r="J3" s="12"/>
      <c r="K3" s="12"/>
      <c r="L3" s="12"/>
    </row>
    <row r="4" spans="1:12" x14ac:dyDescent="0.45">
      <c r="A4" s="9" t="s">
        <v>13</v>
      </c>
      <c r="B4" s="10">
        <v>2000</v>
      </c>
      <c r="C4" s="10">
        <v>2012</v>
      </c>
      <c r="D4" s="10">
        <v>2000</v>
      </c>
      <c r="E4" s="10">
        <v>2012</v>
      </c>
      <c r="F4" s="10">
        <v>2000</v>
      </c>
      <c r="G4" s="11">
        <v>2012</v>
      </c>
      <c r="I4" t="s">
        <v>39</v>
      </c>
    </row>
    <row r="5" spans="1:12" x14ac:dyDescent="0.45">
      <c r="A5" s="12" t="s">
        <v>4</v>
      </c>
      <c r="B5" s="13"/>
      <c r="C5" s="13"/>
      <c r="D5" s="13"/>
      <c r="E5" s="13"/>
      <c r="F5" s="13"/>
      <c r="G5" s="14"/>
      <c r="H5" s="5"/>
      <c r="I5" t="s">
        <v>40</v>
      </c>
      <c r="J5" s="5"/>
    </row>
    <row r="6" spans="1:12" x14ac:dyDescent="0.45">
      <c r="A6" s="15" t="s">
        <v>14</v>
      </c>
      <c r="B6" s="16">
        <v>1401</v>
      </c>
      <c r="C6" s="16">
        <v>1145</v>
      </c>
      <c r="D6" s="16">
        <v>1150</v>
      </c>
      <c r="E6" s="16">
        <v>1095</v>
      </c>
      <c r="F6" s="16">
        <v>542</v>
      </c>
      <c r="G6" s="17">
        <v>525</v>
      </c>
      <c r="I6" t="s">
        <v>41</v>
      </c>
    </row>
    <row r="7" spans="1:12" x14ac:dyDescent="0.45">
      <c r="A7" s="15" t="s">
        <v>15</v>
      </c>
      <c r="B7" s="16">
        <v>7.9</v>
      </c>
      <c r="C7" s="16">
        <v>6.1</v>
      </c>
      <c r="D7" s="16">
        <v>7.4</v>
      </c>
      <c r="E7" s="16">
        <v>6.1</v>
      </c>
      <c r="F7" s="16">
        <v>2.5</v>
      </c>
      <c r="G7" s="17">
        <v>2.4</v>
      </c>
      <c r="I7" t="s">
        <v>42</v>
      </c>
    </row>
    <row r="8" spans="1:12" x14ac:dyDescent="0.45">
      <c r="A8" s="15" t="s">
        <v>16</v>
      </c>
      <c r="B8" s="16">
        <v>8081</v>
      </c>
      <c r="C8" s="16">
        <v>7137</v>
      </c>
      <c r="D8" s="16">
        <v>8277</v>
      </c>
      <c r="E8" s="16">
        <v>8042</v>
      </c>
      <c r="F8" s="16">
        <v>6201</v>
      </c>
      <c r="G8" s="17">
        <v>5677</v>
      </c>
    </row>
    <row r="9" spans="1:12" ht="15" x14ac:dyDescent="0.2">
      <c r="A9" s="15" t="s">
        <v>12</v>
      </c>
      <c r="B9" s="16">
        <v>305</v>
      </c>
      <c r="C9" s="16">
        <v>275</v>
      </c>
      <c r="D9" s="16">
        <v>529</v>
      </c>
      <c r="E9" s="16">
        <v>476</v>
      </c>
      <c r="F9" s="16">
        <v>921</v>
      </c>
      <c r="G9" s="17">
        <v>829</v>
      </c>
    </row>
    <row r="10" spans="1:12" ht="15" x14ac:dyDescent="0.2">
      <c r="A10" s="15" t="s">
        <v>17</v>
      </c>
      <c r="B10" s="16">
        <v>2.65</v>
      </c>
      <c r="C10" s="16">
        <v>2.39</v>
      </c>
      <c r="D10" s="16">
        <v>5.56</v>
      </c>
      <c r="E10" s="16">
        <v>5</v>
      </c>
      <c r="F10" s="16">
        <v>5.2</v>
      </c>
      <c r="G10" s="17">
        <v>4.68</v>
      </c>
    </row>
    <row r="11" spans="1:12" ht="15" x14ac:dyDescent="0.2">
      <c r="A11" s="15" t="s">
        <v>18</v>
      </c>
      <c r="B11" s="16">
        <v>0.19400000000000001</v>
      </c>
      <c r="C11" s="16">
        <v>0.13500000000000001</v>
      </c>
      <c r="D11" s="16">
        <v>0.317</v>
      </c>
      <c r="E11" s="16">
        <v>0.19600000000000001</v>
      </c>
      <c r="F11" s="16">
        <v>0.35399999999999998</v>
      </c>
      <c r="G11" s="17">
        <v>0.29699999999999999</v>
      </c>
    </row>
    <row r="12" spans="1:12" ht="15" x14ac:dyDescent="0.2">
      <c r="A12" s="12" t="s">
        <v>19</v>
      </c>
      <c r="B12" s="18"/>
      <c r="C12" s="18"/>
      <c r="D12" s="18"/>
      <c r="E12" s="18"/>
      <c r="F12" s="18"/>
      <c r="G12" s="19"/>
    </row>
    <row r="13" spans="1:12" ht="15" x14ac:dyDescent="0.2">
      <c r="A13" s="15" t="s">
        <v>20</v>
      </c>
      <c r="B13" s="16">
        <v>6570</v>
      </c>
      <c r="C13" s="16">
        <v>6570</v>
      </c>
      <c r="D13" s="16">
        <v>6570</v>
      </c>
      <c r="E13" s="16">
        <v>6570</v>
      </c>
      <c r="F13" s="16">
        <v>6570</v>
      </c>
      <c r="G13" s="17">
        <v>6570</v>
      </c>
    </row>
    <row r="14" spans="1:12" ht="15" x14ac:dyDescent="0.2">
      <c r="A14" s="15" t="s">
        <v>21</v>
      </c>
      <c r="B14" s="16">
        <v>15</v>
      </c>
      <c r="C14" s="16">
        <v>15</v>
      </c>
      <c r="D14" s="16">
        <v>15</v>
      </c>
      <c r="E14" s="16">
        <v>15</v>
      </c>
      <c r="F14" s="16">
        <v>15</v>
      </c>
      <c r="G14" s="17">
        <v>15</v>
      </c>
    </row>
    <row r="15" spans="1:12" ht="15" x14ac:dyDescent="0.2">
      <c r="A15" s="15" t="s">
        <v>22</v>
      </c>
      <c r="B15" s="16">
        <v>1.24</v>
      </c>
      <c r="C15" s="16">
        <v>1.24</v>
      </c>
      <c r="D15" s="16">
        <v>1.24</v>
      </c>
      <c r="E15" s="16">
        <v>1.24</v>
      </c>
      <c r="F15" s="16">
        <v>2.93</v>
      </c>
      <c r="G15" s="17">
        <v>2.93</v>
      </c>
    </row>
    <row r="16" spans="1:12" ht="15" x14ac:dyDescent="0.2">
      <c r="A16" s="15" t="s">
        <v>23</v>
      </c>
      <c r="B16" s="16">
        <v>90</v>
      </c>
      <c r="C16" s="16">
        <v>90</v>
      </c>
      <c r="D16" s="16">
        <v>90</v>
      </c>
      <c r="E16" s="16">
        <v>90</v>
      </c>
      <c r="F16" s="16">
        <v>90</v>
      </c>
      <c r="G16" s="17">
        <v>90</v>
      </c>
    </row>
    <row r="17" spans="1:7" ht="15" x14ac:dyDescent="0.2">
      <c r="A17" s="12" t="s">
        <v>24</v>
      </c>
      <c r="B17" s="18"/>
      <c r="C17" s="18"/>
      <c r="D17" s="18"/>
      <c r="E17" s="18"/>
      <c r="F17" s="18"/>
      <c r="G17" s="19"/>
    </row>
    <row r="18" spans="1:7" ht="15" x14ac:dyDescent="0.2">
      <c r="A18" s="15" t="s">
        <v>25</v>
      </c>
      <c r="B18" s="16">
        <v>0.752</v>
      </c>
      <c r="C18" s="16">
        <v>0.66400000000000003</v>
      </c>
      <c r="D18" s="16">
        <v>0.78900000000000003</v>
      </c>
      <c r="E18" s="16">
        <v>0.76600000000000001</v>
      </c>
      <c r="F18" s="16">
        <v>0.36799999999999999</v>
      </c>
      <c r="G18" s="17">
        <v>0.33700000000000002</v>
      </c>
    </row>
    <row r="19" spans="1:7" ht="15" x14ac:dyDescent="0.2">
      <c r="A19" s="15" t="s">
        <v>26</v>
      </c>
      <c r="B19" s="16">
        <v>32</v>
      </c>
      <c r="C19" s="16">
        <v>26.1</v>
      </c>
      <c r="D19" s="16">
        <v>26.3</v>
      </c>
      <c r="E19" s="16">
        <v>25</v>
      </c>
      <c r="F19" s="16">
        <v>12.4</v>
      </c>
      <c r="G19" s="17">
        <v>12</v>
      </c>
    </row>
    <row r="20" spans="1:7" ht="15" x14ac:dyDescent="0.2">
      <c r="A20" s="15" t="s">
        <v>27</v>
      </c>
      <c r="B20" s="16">
        <v>10</v>
      </c>
      <c r="C20" s="16">
        <v>8.8000000000000007</v>
      </c>
      <c r="D20" s="16">
        <v>10.3</v>
      </c>
      <c r="E20" s="16">
        <v>10</v>
      </c>
      <c r="F20" s="16">
        <v>18.2</v>
      </c>
      <c r="G20" s="17">
        <v>16.600000000000001</v>
      </c>
    </row>
    <row r="21" spans="1:7" x14ac:dyDescent="0.45">
      <c r="A21" s="15" t="s">
        <v>28</v>
      </c>
      <c r="B21" s="16">
        <v>7.9</v>
      </c>
      <c r="C21" s="16">
        <v>6.1</v>
      </c>
      <c r="D21" s="16">
        <v>7.4</v>
      </c>
      <c r="E21" s="16">
        <v>6.1</v>
      </c>
      <c r="F21" s="16">
        <v>2.5</v>
      </c>
      <c r="G21" s="17">
        <v>2.4</v>
      </c>
    </row>
    <row r="22" spans="1:7" x14ac:dyDescent="0.45">
      <c r="A22" s="15" t="s">
        <v>29</v>
      </c>
      <c r="B22" s="16">
        <v>4.99</v>
      </c>
      <c r="C22" s="16">
        <v>4.0999999999999996</v>
      </c>
      <c r="D22" s="16">
        <v>4.3899999999999997</v>
      </c>
      <c r="E22" s="16">
        <v>4.0999999999999996</v>
      </c>
      <c r="F22" s="16">
        <v>3.3</v>
      </c>
      <c r="G22" s="17">
        <v>3.1</v>
      </c>
    </row>
    <row r="23" spans="1:7" x14ac:dyDescent="0.45">
      <c r="A23" s="15" t="s">
        <v>30</v>
      </c>
      <c r="B23" s="16">
        <v>42.2</v>
      </c>
      <c r="C23" s="16">
        <v>47.8</v>
      </c>
      <c r="D23" s="16">
        <v>41.2</v>
      </c>
      <c r="E23" s="16">
        <v>42.4</v>
      </c>
      <c r="F23" s="16">
        <v>55</v>
      </c>
      <c r="G23" s="17">
        <v>60.1</v>
      </c>
    </row>
    <row r="24" spans="1:7" x14ac:dyDescent="0.45">
      <c r="A24" s="12" t="s">
        <v>31</v>
      </c>
      <c r="B24" s="18"/>
      <c r="C24" s="18"/>
      <c r="D24" s="18"/>
      <c r="E24" s="18"/>
      <c r="F24" s="18"/>
      <c r="G24" s="19"/>
    </row>
    <row r="25" spans="1:7" x14ac:dyDescent="0.45">
      <c r="A25" s="15" t="s">
        <v>32</v>
      </c>
      <c r="B25" s="16">
        <v>85.4</v>
      </c>
      <c r="C25" s="16">
        <v>91</v>
      </c>
      <c r="D25" s="16">
        <v>75</v>
      </c>
      <c r="E25" s="16">
        <v>85</v>
      </c>
      <c r="F25" s="16">
        <v>87</v>
      </c>
      <c r="G25" s="17">
        <v>90</v>
      </c>
    </row>
    <row r="26" spans="1:7" x14ac:dyDescent="0.45">
      <c r="A26" s="15" t="s">
        <v>16</v>
      </c>
      <c r="B26" s="16">
        <v>9462</v>
      </c>
      <c r="C26" s="16">
        <v>7843</v>
      </c>
      <c r="D26" s="16">
        <v>11037</v>
      </c>
      <c r="E26" s="16">
        <v>9461</v>
      </c>
      <c r="F26" s="16">
        <v>7131</v>
      </c>
      <c r="G26" s="17">
        <v>6308</v>
      </c>
    </row>
    <row r="27" spans="1:7" x14ac:dyDescent="0.45">
      <c r="A27" s="15" t="s">
        <v>14</v>
      </c>
      <c r="B27" s="16">
        <v>1909</v>
      </c>
      <c r="C27" s="16">
        <v>1459</v>
      </c>
      <c r="D27" s="16">
        <v>2090</v>
      </c>
      <c r="E27" s="16">
        <v>1718</v>
      </c>
      <c r="F27" s="16">
        <v>1013</v>
      </c>
      <c r="G27" s="17">
        <v>894</v>
      </c>
    </row>
    <row r="28" spans="1:7" x14ac:dyDescent="0.45">
      <c r="A28" s="15" t="s">
        <v>25</v>
      </c>
      <c r="B28" s="16">
        <v>8.7999999999999995E-2</v>
      </c>
      <c r="C28" s="16">
        <v>7.2999999999999995E-2</v>
      </c>
      <c r="D28" s="16">
        <v>0.105</v>
      </c>
      <c r="E28" s="16">
        <v>0.09</v>
      </c>
      <c r="F28" s="16">
        <v>4.2000000000000003E-2</v>
      </c>
      <c r="G28" s="17">
        <v>3.6999999999999998E-2</v>
      </c>
    </row>
    <row r="29" spans="1:7" x14ac:dyDescent="0.45">
      <c r="A29" s="15" t="s">
        <v>26</v>
      </c>
      <c r="B29" s="16">
        <v>43.6</v>
      </c>
      <c r="C29" s="16">
        <v>33.299999999999997</v>
      </c>
      <c r="D29" s="16">
        <v>47.7</v>
      </c>
      <c r="E29" s="16">
        <v>39.200000000000003</v>
      </c>
      <c r="F29" s="16">
        <v>23.1</v>
      </c>
      <c r="G29" s="17">
        <v>20.399999999999999</v>
      </c>
    </row>
    <row r="30" spans="1:7" x14ac:dyDescent="0.45">
      <c r="A30" s="15" t="s">
        <v>27</v>
      </c>
      <c r="B30" s="16">
        <v>11.7</v>
      </c>
      <c r="C30" s="16">
        <v>9.6999999999999993</v>
      </c>
      <c r="D30" s="16">
        <v>13.7</v>
      </c>
      <c r="E30" s="16">
        <v>11.7</v>
      </c>
      <c r="F30" s="16">
        <v>20.9</v>
      </c>
      <c r="G30" s="17">
        <v>18.5</v>
      </c>
    </row>
    <row r="31" spans="1:7" x14ac:dyDescent="0.45">
      <c r="A31" s="15" t="s">
        <v>28</v>
      </c>
      <c r="B31" s="16">
        <v>11.6</v>
      </c>
      <c r="C31" s="16">
        <v>8.4</v>
      </c>
      <c r="D31" s="16">
        <v>15.7</v>
      </c>
      <c r="E31" s="16">
        <v>11.6</v>
      </c>
      <c r="F31" s="16">
        <v>5.0999999999999996</v>
      </c>
      <c r="G31" s="17">
        <v>4.4000000000000004</v>
      </c>
    </row>
    <row r="32" spans="1:7" x14ac:dyDescent="0.45">
      <c r="A32" s="15" t="s">
        <v>29</v>
      </c>
      <c r="B32" s="16">
        <v>6.69</v>
      </c>
      <c r="C32" s="16">
        <v>5.14</v>
      </c>
      <c r="D32" s="16">
        <v>7.71</v>
      </c>
      <c r="E32" s="16">
        <v>6.26</v>
      </c>
      <c r="F32" s="16">
        <v>4.91</v>
      </c>
      <c r="G32" s="17">
        <v>4.33</v>
      </c>
    </row>
    <row r="33" spans="1:7" x14ac:dyDescent="0.45">
      <c r="A33" s="15" t="s">
        <v>30</v>
      </c>
      <c r="B33" s="16">
        <v>36.1</v>
      </c>
      <c r="C33" s="16">
        <v>43.5</v>
      </c>
      <c r="D33" s="16">
        <v>30.9</v>
      </c>
      <c r="E33" s="16">
        <v>36.1</v>
      </c>
      <c r="F33" s="16">
        <v>47.8</v>
      </c>
      <c r="G33" s="17">
        <v>54.1</v>
      </c>
    </row>
    <row r="34" spans="1:7" x14ac:dyDescent="0.45">
      <c r="A34" s="12" t="s">
        <v>33</v>
      </c>
      <c r="B34" s="18"/>
      <c r="C34" s="18"/>
      <c r="D34" s="18"/>
      <c r="E34" s="18"/>
      <c r="F34" s="18"/>
      <c r="G34" s="19"/>
    </row>
    <row r="35" spans="1:7" x14ac:dyDescent="0.45">
      <c r="A35" s="15" t="s">
        <v>34</v>
      </c>
      <c r="B35" s="16">
        <v>1.7</v>
      </c>
      <c r="C35" s="16">
        <v>1.04</v>
      </c>
      <c r="D35" s="16">
        <v>3.32</v>
      </c>
      <c r="E35" s="16">
        <v>2.16</v>
      </c>
      <c r="F35" s="16">
        <v>1.61</v>
      </c>
      <c r="G35" s="17">
        <v>1.23</v>
      </c>
    </row>
    <row r="36" spans="1:7" x14ac:dyDescent="0.45">
      <c r="A36" s="15" t="s">
        <v>35</v>
      </c>
      <c r="B36" s="16">
        <v>14.6</v>
      </c>
      <c r="C36" s="16">
        <v>9</v>
      </c>
      <c r="D36" s="16">
        <v>25</v>
      </c>
      <c r="E36" s="16">
        <v>15</v>
      </c>
      <c r="F36" s="16">
        <v>13</v>
      </c>
      <c r="G36" s="17">
        <v>10</v>
      </c>
    </row>
    <row r="37" spans="1:7" ht="28.9" thickBot="1" x14ac:dyDescent="0.5">
      <c r="A37" s="20" t="s">
        <v>36</v>
      </c>
      <c r="B37" s="21">
        <v>26</v>
      </c>
      <c r="C37" s="21">
        <v>18</v>
      </c>
      <c r="D37" s="21">
        <v>49</v>
      </c>
      <c r="E37" s="21">
        <v>32</v>
      </c>
      <c r="F37" s="21">
        <v>49</v>
      </c>
      <c r="G37" s="22">
        <v>41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5"/>
  <sheetViews>
    <sheetView workbookViewId="0">
      <selection activeCell="E7" sqref="E7"/>
    </sheetView>
  </sheetViews>
  <sheetFormatPr defaultColWidth="8.86328125" defaultRowHeight="14.25" x14ac:dyDescent="0.45"/>
  <cols>
    <col min="1" max="1" width="17.3984375" customWidth="1"/>
    <col min="2" max="2" width="20.3984375" customWidth="1"/>
    <col min="3" max="3" width="19.3984375" customWidth="1"/>
  </cols>
  <sheetData>
    <row r="1" spans="1:8" ht="15" x14ac:dyDescent="0.2">
      <c r="A1" s="24" t="s">
        <v>64</v>
      </c>
      <c r="B1" s="4"/>
      <c r="C1" s="4"/>
      <c r="E1" t="s">
        <v>213</v>
      </c>
    </row>
    <row r="2" spans="1:8" ht="15" x14ac:dyDescent="0.2">
      <c r="A2" s="1"/>
      <c r="B2" s="1" t="s">
        <v>44</v>
      </c>
      <c r="C2" s="1" t="s">
        <v>43</v>
      </c>
      <c r="E2" t="s">
        <v>127</v>
      </c>
    </row>
    <row r="3" spans="1:8" ht="15" x14ac:dyDescent="0.2">
      <c r="A3" s="1" t="s">
        <v>5</v>
      </c>
      <c r="B3">
        <f>'David &amp; Herzog'!C9</f>
        <v>275</v>
      </c>
      <c r="C3" s="40">
        <f>'David &amp; Herzog'!G9</f>
        <v>829</v>
      </c>
    </row>
    <row r="4" spans="1:8" ht="15" x14ac:dyDescent="0.2">
      <c r="A4" s="1" t="s">
        <v>45</v>
      </c>
      <c r="B4">
        <f>'David &amp; Herzog'!C13</f>
        <v>6570</v>
      </c>
      <c r="C4" s="40">
        <f>'David &amp; Herzog'!G13</f>
        <v>6570</v>
      </c>
      <c r="E4" t="s">
        <v>126</v>
      </c>
      <c r="F4">
        <v>1.0676502722085195</v>
      </c>
      <c r="H4" t="s">
        <v>233</v>
      </c>
    </row>
    <row r="5" spans="1:8" ht="15" x14ac:dyDescent="0.2">
      <c r="A5" s="1" t="s">
        <v>46</v>
      </c>
      <c r="B5">
        <v>1000</v>
      </c>
      <c r="C5" s="40">
        <v>1000</v>
      </c>
    </row>
    <row r="6" spans="1:8" ht="15" x14ac:dyDescent="0.2">
      <c r="A6" s="1" t="s">
        <v>47</v>
      </c>
      <c r="B6" s="23">
        <f>B3/B4*B5</f>
        <v>41.856925418569254</v>
      </c>
      <c r="C6" s="41">
        <f>C3/C4*C5</f>
        <v>126.17960426179603</v>
      </c>
      <c r="E6" s="25">
        <f>B6*F4</f>
        <v>44.68855781694716</v>
      </c>
    </row>
    <row r="7" spans="1:8" ht="15" x14ac:dyDescent="0.2">
      <c r="A7" s="1"/>
      <c r="B7" s="23"/>
      <c r="C7" s="41"/>
      <c r="E7" s="52">
        <f>'Rubin et al.-transport&amp;storage'!$B$1</f>
        <v>11.439110059376997</v>
      </c>
      <c r="F7" t="s">
        <v>212</v>
      </c>
    </row>
    <row r="8" spans="1:8" ht="15" x14ac:dyDescent="0.35">
      <c r="C8" s="40"/>
      <c r="E8" s="52">
        <f>E6+E7</f>
        <v>56.127667876324153</v>
      </c>
    </row>
    <row r="9" spans="1:8" ht="15" x14ac:dyDescent="0.35">
      <c r="C9" s="40"/>
      <c r="E9" s="52"/>
    </row>
    <row r="10" spans="1:8" ht="15" x14ac:dyDescent="0.2">
      <c r="A10" s="24" t="s">
        <v>48</v>
      </c>
      <c r="B10" s="4"/>
      <c r="C10" s="40"/>
    </row>
    <row r="11" spans="1:8" ht="15" x14ac:dyDescent="0.2">
      <c r="A11" s="1"/>
      <c r="B11" s="1" t="s">
        <v>44</v>
      </c>
      <c r="C11" s="42" t="s">
        <v>43</v>
      </c>
    </row>
    <row r="12" spans="1:8" ht="15" x14ac:dyDescent="0.2">
      <c r="A12" s="1" t="s">
        <v>10</v>
      </c>
      <c r="B12">
        <f>'David &amp; Herzog'!C10</f>
        <v>2.39</v>
      </c>
      <c r="C12" s="40">
        <f>'David &amp; Herzog'!G10</f>
        <v>4.68</v>
      </c>
    </row>
    <row r="13" spans="1:8" ht="15" x14ac:dyDescent="0.2">
      <c r="A13" s="1" t="s">
        <v>49</v>
      </c>
      <c r="B13">
        <v>1E-3</v>
      </c>
      <c r="C13" s="40">
        <v>1E-3</v>
      </c>
    </row>
    <row r="14" spans="1:8" ht="15" x14ac:dyDescent="0.2">
      <c r="A14" s="1" t="s">
        <v>46</v>
      </c>
      <c r="B14">
        <v>1000</v>
      </c>
      <c r="C14" s="40">
        <v>1000</v>
      </c>
    </row>
    <row r="15" spans="1:8" ht="15" x14ac:dyDescent="0.2">
      <c r="A15" s="1" t="s">
        <v>66</v>
      </c>
      <c r="B15" s="25">
        <f>B12*B13*B14</f>
        <v>2.39</v>
      </c>
      <c r="C15" s="43">
        <f>C12*C13*C14</f>
        <v>4.68</v>
      </c>
    </row>
    <row r="16" spans="1:8" ht="15" x14ac:dyDescent="0.35">
      <c r="C16" s="40"/>
    </row>
    <row r="17" spans="1:3" ht="15" x14ac:dyDescent="0.35">
      <c r="C17" s="40"/>
    </row>
    <row r="18" spans="1:3" ht="15" x14ac:dyDescent="0.2">
      <c r="A18" s="3" t="s">
        <v>50</v>
      </c>
      <c r="B18" s="4"/>
      <c r="C18" s="40"/>
    </row>
    <row r="19" spans="1:3" ht="15" x14ac:dyDescent="0.2">
      <c r="B19" s="1" t="s">
        <v>44</v>
      </c>
      <c r="C19" s="42" t="s">
        <v>43</v>
      </c>
    </row>
    <row r="20" spans="1:3" x14ac:dyDescent="0.45">
      <c r="A20" s="1" t="s">
        <v>11</v>
      </c>
      <c r="B20">
        <f>'David &amp; Herzog'!C11</f>
        <v>0.13500000000000001</v>
      </c>
      <c r="C20" s="40">
        <f>'David &amp; Herzog'!G11</f>
        <v>0.29699999999999999</v>
      </c>
    </row>
    <row r="21" spans="1:3" x14ac:dyDescent="0.45">
      <c r="A21" s="1" t="s">
        <v>46</v>
      </c>
      <c r="B21">
        <v>1000</v>
      </c>
      <c r="C21" s="40">
        <v>1000</v>
      </c>
    </row>
    <row r="22" spans="1:3" x14ac:dyDescent="0.45">
      <c r="A22" s="1" t="s">
        <v>51</v>
      </c>
      <c r="B22">
        <v>3412</v>
      </c>
      <c r="C22" s="40">
        <v>3412</v>
      </c>
    </row>
    <row r="23" spans="1:3" x14ac:dyDescent="0.45">
      <c r="A23" s="1" t="s">
        <v>52</v>
      </c>
      <c r="B23">
        <f>B20*B21*B22</f>
        <v>460620</v>
      </c>
      <c r="C23" s="40">
        <f>C20*C21*C22</f>
        <v>1013364</v>
      </c>
    </row>
    <row r="31" spans="1:3" x14ac:dyDescent="0.45">
      <c r="A31" t="s">
        <v>113</v>
      </c>
    </row>
    <row r="32" spans="1:3" x14ac:dyDescent="0.45">
      <c r="A32" t="s">
        <v>112</v>
      </c>
    </row>
    <row r="33" spans="1:1" x14ac:dyDescent="0.45">
      <c r="A33" t="s">
        <v>114</v>
      </c>
    </row>
    <row r="35" spans="1:1" x14ac:dyDescent="0.45">
      <c r="A35" t="s">
        <v>115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4"/>
  <sheetViews>
    <sheetView workbookViewId="0">
      <selection activeCell="B13" sqref="B13"/>
    </sheetView>
  </sheetViews>
  <sheetFormatPr defaultRowHeight="14.25" x14ac:dyDescent="0.45"/>
  <cols>
    <col min="1" max="1" width="24.1328125" customWidth="1"/>
    <col min="2" max="2" width="22.86328125" bestFit="1" customWidth="1"/>
  </cols>
  <sheetData>
    <row r="1" spans="1:2" x14ac:dyDescent="0.35">
      <c r="B1" t="str">
        <f>'CC-CCoEtSOToCpY'!B1</f>
        <v>Capital cost ($/(ton*yr))</v>
      </c>
    </row>
    <row r="2" spans="1:2" x14ac:dyDescent="0.35">
      <c r="A2" t="str">
        <f>'CC-CCoEtSOToCpY'!A2</f>
        <v>electricity sector</v>
      </c>
      <c r="B2">
        <v>41.856925418569254</v>
      </c>
    </row>
    <row r="3" spans="1:2" x14ac:dyDescent="0.35">
      <c r="A3" t="str">
        <f>'CC-CCoEtSOToCpY'!A3</f>
        <v>industry sector</v>
      </c>
      <c r="B3">
        <v>126.17960426179603</v>
      </c>
    </row>
    <row r="5" spans="1:2" x14ac:dyDescent="0.35">
      <c r="B5" t="str">
        <f>'CC-TOMCpTS'!B1</f>
        <v>O&amp;M Cost per Ton ($/ton)</v>
      </c>
    </row>
    <row r="6" spans="1:2" x14ac:dyDescent="0.35">
      <c r="A6" t="str">
        <f>'CC-TOMCpTS'!A2</f>
        <v>electricity sector</v>
      </c>
      <c r="B6">
        <v>2.39</v>
      </c>
    </row>
    <row r="7" spans="1:2" x14ac:dyDescent="0.35">
      <c r="A7" t="str">
        <f>'CC-TOMCpTS'!A3</f>
        <v>industry sector</v>
      </c>
      <c r="B7">
        <v>4.68</v>
      </c>
    </row>
    <row r="9" spans="1:2" x14ac:dyDescent="0.35">
      <c r="A9" t="s">
        <v>109</v>
      </c>
    </row>
    <row r="10" spans="1:2" x14ac:dyDescent="0.35">
      <c r="A10" t="s">
        <v>58</v>
      </c>
      <c r="B10">
        <f>B2+B6</f>
        <v>44.246925418569255</v>
      </c>
    </row>
    <row r="11" spans="1:2" x14ac:dyDescent="0.35">
      <c r="A11" t="s">
        <v>59</v>
      </c>
      <c r="B11">
        <f>B3+B7</f>
        <v>130.85960426179602</v>
      </c>
    </row>
    <row r="13" spans="1:2" x14ac:dyDescent="0.35">
      <c r="A13" t="s">
        <v>110</v>
      </c>
      <c r="B13" s="38">
        <f>B3/B11</f>
        <v>0.96423648056708744</v>
      </c>
    </row>
    <row r="14" spans="1:2" x14ac:dyDescent="0.35">
      <c r="A14" t="s">
        <v>111</v>
      </c>
      <c r="B14" s="38">
        <f>1-B13</f>
        <v>3.5763519432912561E-2</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5"/>
  <sheetViews>
    <sheetView topLeftCell="A49" workbookViewId="0">
      <selection activeCell="R7" sqref="R7"/>
    </sheetView>
  </sheetViews>
  <sheetFormatPr defaultColWidth="10.86328125" defaultRowHeight="14.25" x14ac:dyDescent="0.45"/>
  <sheetData>
    <row r="1" spans="1:2" x14ac:dyDescent="0.2">
      <c r="A1" s="1" t="s">
        <v>70</v>
      </c>
      <c r="B1" t="s">
        <v>93</v>
      </c>
    </row>
    <row r="2" spans="1:2" x14ac:dyDescent="0.2">
      <c r="B2" t="s">
        <v>99</v>
      </c>
    </row>
    <row r="4" spans="1:2" x14ac:dyDescent="0.2">
      <c r="B4" t="s">
        <v>100</v>
      </c>
    </row>
    <row r="5" spans="1:2" x14ac:dyDescent="0.2">
      <c r="B5" t="s">
        <v>101</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0"/>
  <sheetViews>
    <sheetView topLeftCell="A43" workbookViewId="0">
      <selection activeCell="A24" sqref="A24:XFD24"/>
    </sheetView>
  </sheetViews>
  <sheetFormatPr defaultColWidth="10.86328125" defaultRowHeight="14.25" x14ac:dyDescent="0.45"/>
  <cols>
    <col min="1" max="1" width="32.86328125" customWidth="1"/>
    <col min="2" max="2" width="27.1328125" customWidth="1"/>
    <col min="7" max="7" width="20.3984375" customWidth="1"/>
  </cols>
  <sheetData>
    <row r="1" spans="1:4" ht="14.45" x14ac:dyDescent="0.35">
      <c r="A1" t="s">
        <v>221</v>
      </c>
      <c r="B1" s="52">
        <f>C2+C3</f>
        <v>11.439110059376997</v>
      </c>
      <c r="C1" t="s">
        <v>159</v>
      </c>
    </row>
    <row r="2" spans="1:4" ht="14.45" x14ac:dyDescent="0.35">
      <c r="A2" t="s">
        <v>183</v>
      </c>
      <c r="B2" s="52" t="s">
        <v>92</v>
      </c>
      <c r="C2">
        <f>C19</f>
        <v>9.466849704311997</v>
      </c>
    </row>
    <row r="3" spans="1:4" ht="14.45" x14ac:dyDescent="0.35">
      <c r="B3" t="s">
        <v>91</v>
      </c>
      <c r="C3">
        <f>C42</f>
        <v>1.9722603550649993</v>
      </c>
    </row>
    <row r="6" spans="1:4" ht="14.1" customHeight="1" x14ac:dyDescent="0.35">
      <c r="A6" s="1" t="s">
        <v>166</v>
      </c>
      <c r="B6" t="s">
        <v>76</v>
      </c>
    </row>
    <row r="7" spans="1:4" ht="15" x14ac:dyDescent="0.2">
      <c r="A7" s="1"/>
    </row>
    <row r="8" spans="1:4" ht="14.45" x14ac:dyDescent="0.35">
      <c r="A8" s="1" t="s">
        <v>177</v>
      </c>
      <c r="B8" t="s">
        <v>180</v>
      </c>
      <c r="C8">
        <f>(C22+D22)/2</f>
        <v>6.8371692308919974</v>
      </c>
    </row>
    <row r="9" spans="1:4" ht="14.45" x14ac:dyDescent="0.35">
      <c r="B9" t="s">
        <v>86</v>
      </c>
    </row>
    <row r="10" spans="1:4" ht="14.45" x14ac:dyDescent="0.35">
      <c r="B10" s="33" t="s">
        <v>78</v>
      </c>
      <c r="C10" s="34" t="s">
        <v>87</v>
      </c>
      <c r="D10" s="34" t="s">
        <v>88</v>
      </c>
    </row>
    <row r="11" spans="1:4" ht="14.45" x14ac:dyDescent="0.35">
      <c r="B11" t="s">
        <v>79</v>
      </c>
      <c r="C11" s="32">
        <v>1</v>
      </c>
      <c r="D11" s="32">
        <v>12</v>
      </c>
    </row>
    <row r="12" spans="1:4" ht="14.45" x14ac:dyDescent="0.35">
      <c r="B12" t="s">
        <v>80</v>
      </c>
      <c r="C12" s="32">
        <v>2</v>
      </c>
      <c r="D12" s="32">
        <v>18</v>
      </c>
    </row>
    <row r="13" spans="1:4" ht="14.45" x14ac:dyDescent="0.35">
      <c r="B13" t="s">
        <v>81</v>
      </c>
      <c r="C13" s="32">
        <v>7</v>
      </c>
      <c r="D13" s="32">
        <v>13</v>
      </c>
    </row>
    <row r="14" spans="1:4" ht="14.45" x14ac:dyDescent="0.35">
      <c r="B14" t="s">
        <v>89</v>
      </c>
      <c r="C14" s="32">
        <v>6</v>
      </c>
      <c r="D14" s="32">
        <v>13</v>
      </c>
    </row>
    <row r="15" spans="1:4" ht="14.45" x14ac:dyDescent="0.35">
      <c r="C15" s="32"/>
      <c r="D15" s="32"/>
    </row>
    <row r="16" spans="1:4" ht="14.45" x14ac:dyDescent="0.35">
      <c r="B16" t="s">
        <v>192</v>
      </c>
      <c r="C16" s="32">
        <f>AVERAGE(C11:C14)</f>
        <v>4</v>
      </c>
      <c r="D16" s="32">
        <f>AVERAGE(D11:D14)</f>
        <v>14</v>
      </c>
    </row>
    <row r="17" spans="1:5" ht="14.45" x14ac:dyDescent="0.35">
      <c r="C17" s="32"/>
      <c r="D17" s="32"/>
    </row>
    <row r="18" spans="1:5" x14ac:dyDescent="0.45">
      <c r="A18" s="1" t="s">
        <v>193</v>
      </c>
      <c r="B18" t="s">
        <v>178</v>
      </c>
      <c r="C18">
        <f>(C16+D16)/2</f>
        <v>9</v>
      </c>
    </row>
    <row r="19" spans="1:5" x14ac:dyDescent="0.45">
      <c r="A19" s="1" t="s">
        <v>222</v>
      </c>
      <c r="B19" t="s">
        <v>179</v>
      </c>
      <c r="C19" s="32">
        <f>C18*B60</f>
        <v>9.466849704311997</v>
      </c>
      <c r="D19" s="32"/>
    </row>
    <row r="20" spans="1:5" x14ac:dyDescent="0.45">
      <c r="C20" s="34" t="s">
        <v>87</v>
      </c>
      <c r="D20" s="34" t="s">
        <v>88</v>
      </c>
    </row>
    <row r="21" spans="1:5" x14ac:dyDescent="0.45">
      <c r="C21" s="35">
        <f>C11</f>
        <v>1</v>
      </c>
      <c r="D21" s="35">
        <f>D11</f>
        <v>12</v>
      </c>
    </row>
    <row r="22" spans="1:5" x14ac:dyDescent="0.45">
      <c r="A22" s="1"/>
      <c r="C22">
        <f>C21*B60</f>
        <v>1.0518721893679996</v>
      </c>
      <c r="D22">
        <f>D21*B60</f>
        <v>12.622466272415995</v>
      </c>
    </row>
    <row r="23" spans="1:5" x14ac:dyDescent="0.45">
      <c r="A23" s="1"/>
    </row>
    <row r="24" spans="1:5" x14ac:dyDescent="0.45">
      <c r="A24" s="1" t="s">
        <v>165</v>
      </c>
      <c r="B24" t="s">
        <v>85</v>
      </c>
    </row>
    <row r="25" spans="1:5" x14ac:dyDescent="0.45">
      <c r="C25" t="s">
        <v>77</v>
      </c>
    </row>
    <row r="26" spans="1:5" x14ac:dyDescent="0.45">
      <c r="B26" s="33" t="s">
        <v>78</v>
      </c>
      <c r="C26" s="34">
        <v>3</v>
      </c>
      <c r="D26" s="34">
        <v>10</v>
      </c>
      <c r="E26" s="34">
        <v>30</v>
      </c>
    </row>
    <row r="27" spans="1:5" x14ac:dyDescent="0.45">
      <c r="B27" t="s">
        <v>79</v>
      </c>
      <c r="C27" s="32" t="s">
        <v>82</v>
      </c>
      <c r="D27" s="32" t="s">
        <v>83</v>
      </c>
      <c r="E27" s="32" t="s">
        <v>84</v>
      </c>
    </row>
    <row r="28" spans="1:5" x14ac:dyDescent="0.45">
      <c r="B28" t="s">
        <v>80</v>
      </c>
      <c r="C28" s="32">
        <v>10.9</v>
      </c>
      <c r="D28" s="32">
        <v>3.3</v>
      </c>
      <c r="E28" s="32" t="s">
        <v>71</v>
      </c>
    </row>
    <row r="29" spans="1:5" x14ac:dyDescent="0.45">
      <c r="B29" t="s">
        <v>81</v>
      </c>
      <c r="C29" s="32">
        <v>4.9000000000000004</v>
      </c>
      <c r="D29" s="32" t="s">
        <v>71</v>
      </c>
      <c r="E29" s="32">
        <v>1.7</v>
      </c>
    </row>
    <row r="30" spans="1:5" x14ac:dyDescent="0.45">
      <c r="C30" s="32"/>
      <c r="D30" s="32"/>
      <c r="E30" s="32"/>
    </row>
    <row r="31" spans="1:5" x14ac:dyDescent="0.45">
      <c r="C31" t="s">
        <v>167</v>
      </c>
    </row>
    <row r="32" spans="1:5" x14ac:dyDescent="0.45">
      <c r="B32" s="34" t="s">
        <v>78</v>
      </c>
      <c r="C32" s="34">
        <v>3</v>
      </c>
      <c r="D32" s="34">
        <v>10</v>
      </c>
      <c r="E32" s="34">
        <v>30</v>
      </c>
    </row>
    <row r="33" spans="1:5" x14ac:dyDescent="0.45">
      <c r="B33" s="55" t="s">
        <v>168</v>
      </c>
      <c r="C33" s="32">
        <f>(4.3+7.2)/2</f>
        <v>5.75</v>
      </c>
      <c r="D33">
        <f>(2.2+3.7)/2</f>
        <v>2.95</v>
      </c>
      <c r="E33">
        <f>(1.3+2.2)/2</f>
        <v>1.75</v>
      </c>
    </row>
    <row r="34" spans="1:5" x14ac:dyDescent="0.45">
      <c r="B34" t="s">
        <v>80</v>
      </c>
      <c r="C34" s="32">
        <v>10.9</v>
      </c>
      <c r="D34" s="32">
        <v>3.3</v>
      </c>
      <c r="E34" s="32"/>
    </row>
    <row r="35" spans="1:5" x14ac:dyDescent="0.45">
      <c r="B35" t="s">
        <v>81</v>
      </c>
      <c r="C35" s="32">
        <v>4.9000000000000004</v>
      </c>
      <c r="D35" s="32"/>
      <c r="E35" s="32">
        <v>1.7</v>
      </c>
    </row>
    <row r="36" spans="1:5" x14ac:dyDescent="0.45">
      <c r="B36" s="32"/>
      <c r="C36" s="32"/>
    </row>
    <row r="37" spans="1:5" x14ac:dyDescent="0.45">
      <c r="B37" s="32" t="s">
        <v>169</v>
      </c>
      <c r="C37" s="56">
        <f>AVERAGE(C33:C35)</f>
        <v>7.1833333333333327</v>
      </c>
      <c r="D37" s="32">
        <f t="shared" ref="D37:E37" si="0">AVERAGE(D33:D35)</f>
        <v>3.125</v>
      </c>
      <c r="E37" s="32">
        <f t="shared" si="0"/>
        <v>1.7250000000000001</v>
      </c>
    </row>
    <row r="39" spans="1:5" ht="28.5" x14ac:dyDescent="0.45">
      <c r="B39" s="29" t="s">
        <v>218</v>
      </c>
      <c r="C39" s="36">
        <f>D37</f>
        <v>3.125</v>
      </c>
    </row>
    <row r="40" spans="1:5" x14ac:dyDescent="0.45">
      <c r="B40" t="s">
        <v>175</v>
      </c>
      <c r="C40" s="36">
        <f>C39*B60</f>
        <v>3.2871005917749989</v>
      </c>
    </row>
    <row r="42" spans="1:5" ht="28.5" x14ac:dyDescent="0.45">
      <c r="A42" s="1" t="s">
        <v>181</v>
      </c>
      <c r="B42" s="29" t="s">
        <v>182</v>
      </c>
      <c r="C42" s="35">
        <f>C40*C47</f>
        <v>1.9722603550649993</v>
      </c>
      <c r="D42" s="35"/>
    </row>
    <row r="43" spans="1:5" x14ac:dyDescent="0.45">
      <c r="A43" s="1"/>
    </row>
    <row r="44" spans="1:5" x14ac:dyDescent="0.45">
      <c r="A44" t="s">
        <v>102</v>
      </c>
    </row>
    <row r="45" spans="1:5" ht="28.5" x14ac:dyDescent="0.45">
      <c r="B45" s="29" t="s">
        <v>157</v>
      </c>
      <c r="C45">
        <v>250</v>
      </c>
    </row>
    <row r="46" spans="1:5" ht="28.5" x14ac:dyDescent="0.45">
      <c r="B46" s="29" t="s">
        <v>156</v>
      </c>
      <c r="C46" s="32">
        <v>150</v>
      </c>
      <c r="D46" t="s">
        <v>90</v>
      </c>
    </row>
    <row r="47" spans="1:5" x14ac:dyDescent="0.45">
      <c r="B47" t="s">
        <v>158</v>
      </c>
      <c r="C47" s="32">
        <f>C46/250</f>
        <v>0.6</v>
      </c>
    </row>
    <row r="50" spans="1:2" x14ac:dyDescent="0.45">
      <c r="A50" t="s">
        <v>174</v>
      </c>
    </row>
    <row r="52" spans="1:2" x14ac:dyDescent="0.45">
      <c r="A52" t="s">
        <v>172</v>
      </c>
      <c r="B52" t="s">
        <v>173</v>
      </c>
    </row>
    <row r="53" spans="1:2" x14ac:dyDescent="0.45">
      <c r="A53">
        <v>2012</v>
      </c>
      <c r="B53">
        <v>1</v>
      </c>
    </row>
    <row r="54" spans="1:2" x14ac:dyDescent="0.45">
      <c r="A54">
        <v>2013</v>
      </c>
      <c r="B54">
        <v>1.0149999999999999</v>
      </c>
    </row>
    <row r="55" spans="1:2" x14ac:dyDescent="0.45">
      <c r="A55">
        <v>2014</v>
      </c>
      <c r="B55">
        <v>1.0312399999999999</v>
      </c>
    </row>
    <row r="56" spans="1:2" x14ac:dyDescent="0.45">
      <c r="A56">
        <v>2015</v>
      </c>
      <c r="B56">
        <v>1.0322712399999998</v>
      </c>
    </row>
    <row r="57" spans="1:2" x14ac:dyDescent="0.45">
      <c r="A57">
        <v>2016</v>
      </c>
      <c r="B57">
        <v>1.0456907661199997</v>
      </c>
    </row>
    <row r="58" spans="1:2" x14ac:dyDescent="0.45">
      <c r="A58">
        <v>2017</v>
      </c>
      <c r="B58">
        <v>1.0676502722085195</v>
      </c>
    </row>
    <row r="60" spans="1:2" x14ac:dyDescent="0.45">
      <c r="A60" t="s">
        <v>176</v>
      </c>
      <c r="B60">
        <f>B58/B54</f>
        <v>1.0518721893679996</v>
      </c>
    </row>
  </sheetData>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43"/>
  <sheetViews>
    <sheetView topLeftCell="A14" workbookViewId="0">
      <selection activeCell="A35" sqref="A35"/>
    </sheetView>
  </sheetViews>
  <sheetFormatPr defaultRowHeight="14.25" x14ac:dyDescent="0.45"/>
  <cols>
    <col min="1" max="1" width="22.59765625" customWidth="1"/>
    <col min="18" max="18" width="21.265625" customWidth="1"/>
  </cols>
  <sheetData>
    <row r="1" spans="1:18" x14ac:dyDescent="0.45">
      <c r="A1" t="s">
        <v>226</v>
      </c>
    </row>
    <row r="3" spans="1:18" ht="14.45" x14ac:dyDescent="0.35">
      <c r="D3">
        <v>2017</v>
      </c>
      <c r="E3">
        <v>2018</v>
      </c>
      <c r="F3">
        <v>2019</v>
      </c>
      <c r="G3">
        <v>2020</v>
      </c>
      <c r="H3">
        <f>G3+1</f>
        <v>2021</v>
      </c>
      <c r="I3">
        <f t="shared" ref="I3:Q3" si="0">H3+1</f>
        <v>2022</v>
      </c>
      <c r="J3">
        <f t="shared" si="0"/>
        <v>2023</v>
      </c>
      <c r="K3">
        <f t="shared" si="0"/>
        <v>2024</v>
      </c>
      <c r="L3">
        <f t="shared" si="0"/>
        <v>2025</v>
      </c>
      <c r="M3">
        <f t="shared" si="0"/>
        <v>2026</v>
      </c>
      <c r="N3">
        <f t="shared" si="0"/>
        <v>2027</v>
      </c>
      <c r="O3">
        <f t="shared" si="0"/>
        <v>2028</v>
      </c>
      <c r="P3">
        <f t="shared" si="0"/>
        <v>2029</v>
      </c>
      <c r="Q3">
        <f t="shared" si="0"/>
        <v>2030</v>
      </c>
    </row>
    <row r="4" spans="1:18" ht="14.45" x14ac:dyDescent="0.35">
      <c r="A4" t="s">
        <v>227</v>
      </c>
      <c r="H4">
        <v>0</v>
      </c>
      <c r="I4">
        <v>0</v>
      </c>
      <c r="J4">
        <v>0.35282627533405453</v>
      </c>
      <c r="K4">
        <v>0.35282627533405453</v>
      </c>
      <c r="L4">
        <v>0.35282627145296575</v>
      </c>
      <c r="M4">
        <v>0.35282627533405453</v>
      </c>
      <c r="N4">
        <v>0.35282627533405453</v>
      </c>
      <c r="O4">
        <v>0.35282627533405453</v>
      </c>
      <c r="P4">
        <v>0.35282627533405453</v>
      </c>
      <c r="Q4">
        <v>0.35282627533405408</v>
      </c>
    </row>
    <row r="5" spans="1:18" x14ac:dyDescent="0.45">
      <c r="A5" t="s">
        <v>228</v>
      </c>
    </row>
    <row r="8" spans="1:18" ht="14.45" x14ac:dyDescent="0.35">
      <c r="A8" t="s">
        <v>189</v>
      </c>
    </row>
    <row r="9" spans="1:18" ht="14.45" x14ac:dyDescent="0.35">
      <c r="A9">
        <v>2023</v>
      </c>
      <c r="J9">
        <f t="shared" ref="J9:Q9" si="1">$J$4</f>
        <v>0.35282627533405453</v>
      </c>
      <c r="K9">
        <f t="shared" si="1"/>
        <v>0.35282627533405453</v>
      </c>
      <c r="L9">
        <f t="shared" si="1"/>
        <v>0.35282627533405453</v>
      </c>
      <c r="M9">
        <f t="shared" si="1"/>
        <v>0.35282627533405453</v>
      </c>
      <c r="N9">
        <f t="shared" si="1"/>
        <v>0.35282627533405453</v>
      </c>
      <c r="O9">
        <f t="shared" si="1"/>
        <v>0.35282627533405453</v>
      </c>
      <c r="P9">
        <f t="shared" si="1"/>
        <v>0.35282627533405453</v>
      </c>
      <c r="Q9">
        <f t="shared" si="1"/>
        <v>0.35282627533405453</v>
      </c>
      <c r="R9">
        <f t="shared" ref="R9:R16" si="2">SUM(G9:Q9)</f>
        <v>2.8226102026724362</v>
      </c>
    </row>
    <row r="10" spans="1:18" ht="14.45" x14ac:dyDescent="0.35">
      <c r="A10">
        <f t="shared" ref="A10:A16" si="3">A9+1</f>
        <v>2024</v>
      </c>
      <c r="K10">
        <f t="shared" ref="K10:Q10" si="4">$J$4</f>
        <v>0.35282627533405453</v>
      </c>
      <c r="L10">
        <f t="shared" si="4"/>
        <v>0.35282627533405453</v>
      </c>
      <c r="M10">
        <f t="shared" si="4"/>
        <v>0.35282627533405453</v>
      </c>
      <c r="N10">
        <f t="shared" si="4"/>
        <v>0.35282627533405453</v>
      </c>
      <c r="O10">
        <f t="shared" si="4"/>
        <v>0.35282627533405453</v>
      </c>
      <c r="P10">
        <f t="shared" si="4"/>
        <v>0.35282627533405453</v>
      </c>
      <c r="Q10">
        <f t="shared" si="4"/>
        <v>0.35282627533405453</v>
      </c>
      <c r="R10">
        <f t="shared" si="2"/>
        <v>2.4697839273383817</v>
      </c>
    </row>
    <row r="11" spans="1:18" ht="14.45" x14ac:dyDescent="0.35">
      <c r="A11">
        <f t="shared" si="3"/>
        <v>2025</v>
      </c>
      <c r="L11">
        <f t="shared" ref="L11:Q11" si="5">$J$4</f>
        <v>0.35282627533405453</v>
      </c>
      <c r="M11">
        <f t="shared" si="5"/>
        <v>0.35282627533405453</v>
      </c>
      <c r="N11">
        <f t="shared" si="5"/>
        <v>0.35282627533405453</v>
      </c>
      <c r="O11">
        <f t="shared" si="5"/>
        <v>0.35282627533405453</v>
      </c>
      <c r="P11">
        <f t="shared" si="5"/>
        <v>0.35282627533405453</v>
      </c>
      <c r="Q11">
        <f t="shared" si="5"/>
        <v>0.35282627533405453</v>
      </c>
      <c r="R11">
        <f t="shared" si="2"/>
        <v>2.1169576520043272</v>
      </c>
    </row>
    <row r="12" spans="1:18" ht="14.45" x14ac:dyDescent="0.35">
      <c r="A12">
        <f t="shared" si="3"/>
        <v>2026</v>
      </c>
      <c r="M12">
        <f>$J$4</f>
        <v>0.35282627533405453</v>
      </c>
      <c r="N12">
        <f>$J$4</f>
        <v>0.35282627533405453</v>
      </c>
      <c r="O12">
        <f>$J$4</f>
        <v>0.35282627533405453</v>
      </c>
      <c r="P12">
        <f>$J$4</f>
        <v>0.35282627533405453</v>
      </c>
      <c r="Q12">
        <f>$J$4</f>
        <v>0.35282627533405453</v>
      </c>
      <c r="R12">
        <f t="shared" si="2"/>
        <v>1.7641313766702726</v>
      </c>
    </row>
    <row r="13" spans="1:18" ht="14.45" x14ac:dyDescent="0.35">
      <c r="A13">
        <f t="shared" si="3"/>
        <v>2027</v>
      </c>
      <c r="N13">
        <f>$J$4</f>
        <v>0.35282627533405453</v>
      </c>
      <c r="O13">
        <f>$J$4</f>
        <v>0.35282627533405453</v>
      </c>
      <c r="P13">
        <f>$J$4</f>
        <v>0.35282627533405453</v>
      </c>
      <c r="Q13">
        <f>$J$4</f>
        <v>0.35282627533405453</v>
      </c>
      <c r="R13">
        <f t="shared" si="2"/>
        <v>1.4113051013362181</v>
      </c>
    </row>
    <row r="14" spans="1:18" ht="14.45" x14ac:dyDescent="0.35">
      <c r="A14">
        <f t="shared" si="3"/>
        <v>2028</v>
      </c>
      <c r="O14">
        <f>$J$4</f>
        <v>0.35282627533405453</v>
      </c>
      <c r="P14">
        <f>$J$4</f>
        <v>0.35282627533405453</v>
      </c>
      <c r="Q14">
        <f>$J$4</f>
        <v>0.35282627533405453</v>
      </c>
      <c r="R14">
        <f t="shared" si="2"/>
        <v>1.0584788260021636</v>
      </c>
    </row>
    <row r="15" spans="1:18" ht="14.45" x14ac:dyDescent="0.35">
      <c r="A15">
        <f t="shared" si="3"/>
        <v>2029</v>
      </c>
      <c r="P15">
        <f>$J$4</f>
        <v>0.35282627533405453</v>
      </c>
      <c r="Q15">
        <f>$J$4</f>
        <v>0.35282627533405453</v>
      </c>
      <c r="R15">
        <f t="shared" si="2"/>
        <v>0.70565255066810906</v>
      </c>
    </row>
    <row r="16" spans="1:18" ht="14.45" x14ac:dyDescent="0.35">
      <c r="A16">
        <f t="shared" si="3"/>
        <v>2030</v>
      </c>
      <c r="Q16">
        <f>$J$4</f>
        <v>0.35282627533405453</v>
      </c>
      <c r="R16">
        <f t="shared" si="2"/>
        <v>0.35282627533405453</v>
      </c>
    </row>
    <row r="18" spans="1:17" ht="28.5" x14ac:dyDescent="0.45">
      <c r="A18" s="29" t="s">
        <v>223</v>
      </c>
      <c r="B18">
        <f>SUM(R9:R16)</f>
        <v>12.701745912025963</v>
      </c>
    </row>
    <row r="21" spans="1:17" ht="14.45" x14ac:dyDescent="0.35">
      <c r="D21">
        <v>2017</v>
      </c>
      <c r="E21">
        <v>2018</v>
      </c>
      <c r="F21">
        <v>2019</v>
      </c>
      <c r="G21">
        <v>2020</v>
      </c>
      <c r="H21">
        <v>2021</v>
      </c>
      <c r="I21">
        <v>2022</v>
      </c>
      <c r="J21">
        <v>2023</v>
      </c>
      <c r="K21">
        <v>2024</v>
      </c>
      <c r="L21">
        <v>2025</v>
      </c>
      <c r="M21">
        <v>2026</v>
      </c>
      <c r="N21">
        <v>2027</v>
      </c>
      <c r="O21">
        <v>2028</v>
      </c>
      <c r="P21">
        <v>2029</v>
      </c>
      <c r="Q21">
        <v>2030</v>
      </c>
    </row>
    <row r="22" spans="1:17" ht="14.45" x14ac:dyDescent="0.35">
      <c r="A22" t="s">
        <v>195</v>
      </c>
      <c r="D22">
        <f>22.87</f>
        <v>22.87</v>
      </c>
      <c r="E22">
        <f t="shared" ref="E22:K22" si="6">D22+($L$22-$D$22)/8</f>
        <v>26.26125</v>
      </c>
      <c r="F22">
        <f t="shared" si="6"/>
        <v>29.6525</v>
      </c>
      <c r="G22">
        <f t="shared" si="6"/>
        <v>33.043750000000003</v>
      </c>
      <c r="H22">
        <f t="shared" si="6"/>
        <v>36.435000000000002</v>
      </c>
      <c r="I22">
        <f t="shared" si="6"/>
        <v>39.826250000000002</v>
      </c>
      <c r="J22">
        <f t="shared" si="6"/>
        <v>43.217500000000001</v>
      </c>
      <c r="K22">
        <f t="shared" si="6"/>
        <v>46.608750000000001</v>
      </c>
      <c r="L22">
        <v>50</v>
      </c>
      <c r="M22">
        <f>L22</f>
        <v>50</v>
      </c>
      <c r="N22">
        <f t="shared" ref="N22:Q22" si="7">M22</f>
        <v>50</v>
      </c>
      <c r="O22">
        <f t="shared" si="7"/>
        <v>50</v>
      </c>
      <c r="P22">
        <f t="shared" si="7"/>
        <v>50</v>
      </c>
      <c r="Q22">
        <f t="shared" si="7"/>
        <v>50</v>
      </c>
    </row>
    <row r="24" spans="1:17" ht="14.45" x14ac:dyDescent="0.35">
      <c r="A24" t="s">
        <v>190</v>
      </c>
    </row>
    <row r="26" spans="1:17" ht="15" x14ac:dyDescent="0.25">
      <c r="A26" t="s">
        <v>224</v>
      </c>
      <c r="J26">
        <f>J9/$B$18</f>
        <v>2.7777777777777776E-2</v>
      </c>
      <c r="K26">
        <f>K9/$B$18</f>
        <v>2.7777777777777776E-2</v>
      </c>
      <c r="L26">
        <f>L9/$B$18</f>
        <v>2.7777777777777776E-2</v>
      </c>
      <c r="M26">
        <f>M9/$B$18</f>
        <v>2.7777777777777776E-2</v>
      </c>
      <c r="N26">
        <f>N9/$B$18</f>
        <v>2.7777777777777776E-2</v>
      </c>
      <c r="O26">
        <f>O9/$B$18</f>
        <v>2.7777777777777776E-2</v>
      </c>
      <c r="P26">
        <f>P9/$B$18</f>
        <v>2.7777777777777776E-2</v>
      </c>
      <c r="Q26">
        <f>Q9/$B$18</f>
        <v>2.7777777777777776E-2</v>
      </c>
    </row>
    <row r="28" spans="1:17" ht="15" x14ac:dyDescent="0.25">
      <c r="A28" t="s">
        <v>191</v>
      </c>
      <c r="J28">
        <f>J26*J22</f>
        <v>1.2004861111111111</v>
      </c>
      <c r="K28">
        <f t="shared" ref="K28:Q28" si="8">K26*K22</f>
        <v>1.2946875</v>
      </c>
      <c r="L28">
        <f t="shared" si="8"/>
        <v>1.3888888888888888</v>
      </c>
      <c r="M28">
        <f t="shared" si="8"/>
        <v>1.3888888888888888</v>
      </c>
      <c r="N28">
        <f t="shared" si="8"/>
        <v>1.3888888888888888</v>
      </c>
      <c r="O28">
        <f t="shared" si="8"/>
        <v>1.3888888888888888</v>
      </c>
      <c r="P28">
        <f t="shared" si="8"/>
        <v>1.3888888888888888</v>
      </c>
      <c r="Q28">
        <f t="shared" si="8"/>
        <v>1.3888888888888888</v>
      </c>
    </row>
    <row r="30" spans="1:17" ht="15" x14ac:dyDescent="0.25">
      <c r="A30" t="s">
        <v>196</v>
      </c>
      <c r="G30">
        <v>1</v>
      </c>
      <c r="H30">
        <v>2</v>
      </c>
      <c r="I30">
        <v>3</v>
      </c>
      <c r="J30">
        <v>4</v>
      </c>
      <c r="K30">
        <v>5</v>
      </c>
      <c r="L30">
        <v>6</v>
      </c>
      <c r="M30">
        <v>7</v>
      </c>
      <c r="N30">
        <v>8</v>
      </c>
      <c r="O30">
        <v>9</v>
      </c>
      <c r="P30">
        <v>10</v>
      </c>
      <c r="Q30">
        <v>11</v>
      </c>
    </row>
    <row r="31" spans="1:17" ht="15" x14ac:dyDescent="0.25">
      <c r="A31" t="s">
        <v>197</v>
      </c>
      <c r="G31">
        <v>0.970873786407767</v>
      </c>
      <c r="H31">
        <v>0.94259590913375435</v>
      </c>
      <c r="I31">
        <v>0.91514165935315961</v>
      </c>
      <c r="J31">
        <v>0.888487047915689</v>
      </c>
      <c r="K31">
        <v>0.86260878438416411</v>
      </c>
      <c r="L31">
        <v>0.83748425668365445</v>
      </c>
      <c r="M31">
        <v>0.81309151134335378</v>
      </c>
      <c r="N31">
        <v>0.78940923431393573</v>
      </c>
      <c r="O31">
        <v>0.76641673234362695</v>
      </c>
      <c r="P31">
        <v>0.74409391489672516</v>
      </c>
      <c r="Q31">
        <v>0.72242127659876232</v>
      </c>
    </row>
    <row r="33" spans="1:17" ht="15" x14ac:dyDescent="0.25">
      <c r="A33" t="s">
        <v>225</v>
      </c>
      <c r="J33">
        <f t="shared" ref="J33:Q33" si="9">J31*J28</f>
        <v>1.0666163609248969</v>
      </c>
      <c r="K33">
        <f t="shared" si="9"/>
        <v>1.1168088105323724</v>
      </c>
      <c r="L33">
        <f t="shared" si="9"/>
        <v>1.1631725787272977</v>
      </c>
      <c r="M33">
        <f t="shared" si="9"/>
        <v>1.129293765754658</v>
      </c>
      <c r="N33">
        <f t="shared" si="9"/>
        <v>1.0964017143249107</v>
      </c>
      <c r="O33">
        <f t="shared" si="9"/>
        <v>1.0644676838105929</v>
      </c>
      <c r="P33">
        <f t="shared" si="9"/>
        <v>1.0334637706898959</v>
      </c>
      <c r="Q33">
        <f t="shared" si="9"/>
        <v>1.0033628841649476</v>
      </c>
    </row>
    <row r="35" spans="1:17" ht="15" x14ac:dyDescent="0.25">
      <c r="A35" t="s">
        <v>232</v>
      </c>
      <c r="E35" s="60">
        <f>AVERAGE(J33:Q33)</f>
        <v>1.0841984461161964</v>
      </c>
    </row>
    <row r="38" spans="1:17" x14ac:dyDescent="0.45">
      <c r="A38" t="s">
        <v>144</v>
      </c>
    </row>
    <row r="40" spans="1:17" x14ac:dyDescent="0.45">
      <c r="A40" s="2" t="s">
        <v>187</v>
      </c>
    </row>
    <row r="41" spans="1:17" x14ac:dyDescent="0.45">
      <c r="A41" t="s">
        <v>188</v>
      </c>
    </row>
    <row r="43" spans="1:17" x14ac:dyDescent="0.45">
      <c r="A43" t="s">
        <v>186</v>
      </c>
    </row>
  </sheetData>
  <hyperlinks>
    <hyperlink ref="A40" r:id="rId1"/>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3"/>
  <sheetViews>
    <sheetView topLeftCell="A19" workbookViewId="0">
      <selection activeCell="A36" sqref="A36"/>
    </sheetView>
  </sheetViews>
  <sheetFormatPr defaultRowHeight="14.25" x14ac:dyDescent="0.45"/>
  <cols>
    <col min="1" max="1" width="69.3984375" customWidth="1"/>
    <col min="2" max="2" width="13.59765625" bestFit="1" customWidth="1"/>
    <col min="3" max="3" width="15.59765625" bestFit="1" customWidth="1"/>
    <col min="4" max="4" width="19" customWidth="1"/>
    <col min="5" max="5" width="15.59765625" bestFit="1" customWidth="1"/>
  </cols>
  <sheetData>
    <row r="1" spans="1:3" ht="14.45" x14ac:dyDescent="0.35">
      <c r="A1" t="s">
        <v>198</v>
      </c>
    </row>
    <row r="2" spans="1:3" ht="14.45" x14ac:dyDescent="0.35">
      <c r="A2" t="s">
        <v>199</v>
      </c>
    </row>
    <row r="4" spans="1:3" ht="14.45" x14ac:dyDescent="0.35">
      <c r="A4" t="s">
        <v>200</v>
      </c>
    </row>
    <row r="6" spans="1:3" ht="14.45" x14ac:dyDescent="0.35">
      <c r="A6" t="s">
        <v>201</v>
      </c>
    </row>
    <row r="7" spans="1:3" ht="14.45" x14ac:dyDescent="0.35">
      <c r="A7" t="s">
        <v>202</v>
      </c>
      <c r="B7" s="54">
        <f>E25</f>
        <v>555.26</v>
      </c>
      <c r="C7" t="s">
        <v>203</v>
      </c>
    </row>
    <row r="9" spans="1:3" ht="14.45" x14ac:dyDescent="0.35">
      <c r="A9" t="s">
        <v>204</v>
      </c>
      <c r="B9">
        <f>O43</f>
        <v>118.00973267455998</v>
      </c>
    </row>
    <row r="11" spans="1:3" ht="14.45" x14ac:dyDescent="0.35">
      <c r="A11" t="s">
        <v>205</v>
      </c>
    </row>
    <row r="12" spans="1:3" ht="14.45" x14ac:dyDescent="0.35">
      <c r="A12" t="s">
        <v>162</v>
      </c>
      <c r="B12" s="54">
        <f>B7/B9</f>
        <v>4.7052051336414937</v>
      </c>
    </row>
    <row r="14" spans="1:3" ht="14.45" x14ac:dyDescent="0.35">
      <c r="A14" t="s">
        <v>206</v>
      </c>
    </row>
    <row r="16" spans="1:3" ht="14.45" x14ac:dyDescent="0.35">
      <c r="B16" t="s">
        <v>147</v>
      </c>
      <c r="C16" t="s">
        <v>149</v>
      </c>
    </row>
    <row r="17" spans="1:8" ht="14.45" x14ac:dyDescent="0.35">
      <c r="A17" t="s">
        <v>148</v>
      </c>
      <c r="B17">
        <f>'Impute capital-O&amp;M fractions'!B13</f>
        <v>0.96423648056708744</v>
      </c>
      <c r="C17" s="49">
        <f>B17*B12</f>
        <v>4.5369304384086666</v>
      </c>
    </row>
    <row r="18" spans="1:8" ht="14.45" x14ac:dyDescent="0.35">
      <c r="A18" t="s">
        <v>121</v>
      </c>
      <c r="B18">
        <f>'Impute capital-O&amp;M fractions'!B14</f>
        <v>3.5763519432912561E-2</v>
      </c>
      <c r="C18" s="49">
        <f>B12*B18</f>
        <v>0.16827469523282751</v>
      </c>
    </row>
    <row r="21" spans="1:8" x14ac:dyDescent="0.45">
      <c r="A21" s="58" t="s">
        <v>207</v>
      </c>
      <c r="B21" s="58"/>
      <c r="C21" s="58"/>
      <c r="D21" s="58"/>
      <c r="E21" s="44"/>
    </row>
    <row r="22" spans="1:8" x14ac:dyDescent="0.45">
      <c r="A22" s="44" t="s">
        <v>128</v>
      </c>
      <c r="B22" s="44" t="s">
        <v>129</v>
      </c>
      <c r="C22" s="44" t="s">
        <v>130</v>
      </c>
      <c r="D22" s="44" t="s">
        <v>146</v>
      </c>
      <c r="E22" s="44" t="s">
        <v>161</v>
      </c>
    </row>
    <row r="23" spans="1:8" x14ac:dyDescent="0.45">
      <c r="A23" s="44">
        <v>3500</v>
      </c>
      <c r="B23" s="44" t="s">
        <v>131</v>
      </c>
      <c r="C23" s="44">
        <v>711.9</v>
      </c>
      <c r="D23" s="45">
        <v>470236</v>
      </c>
      <c r="E23" s="44"/>
    </row>
    <row r="24" spans="1:8" x14ac:dyDescent="0.45">
      <c r="A24" s="44">
        <v>3505</v>
      </c>
      <c r="B24" s="44" t="s">
        <v>132</v>
      </c>
      <c r="C24" s="44">
        <v>271.3</v>
      </c>
      <c r="D24" s="48">
        <v>39976</v>
      </c>
      <c r="E24" s="44"/>
    </row>
    <row r="25" spans="1:8" x14ac:dyDescent="0.45">
      <c r="A25" s="44">
        <v>3510</v>
      </c>
      <c r="B25" s="44" t="s">
        <v>133</v>
      </c>
      <c r="C25" s="44">
        <v>205.4</v>
      </c>
      <c r="D25" s="45">
        <v>555260</v>
      </c>
      <c r="E25" s="53">
        <f>D25/1000</f>
        <v>555.26</v>
      </c>
      <c r="H25" s="54">
        <f>E25/O43</f>
        <v>4.7052051336414937</v>
      </c>
    </row>
    <row r="26" spans="1:8" x14ac:dyDescent="0.45">
      <c r="A26" s="44">
        <v>3515</v>
      </c>
      <c r="B26" s="44" t="s">
        <v>134</v>
      </c>
      <c r="C26" s="44" t="s">
        <v>135</v>
      </c>
      <c r="D26" s="45">
        <v>10111</v>
      </c>
      <c r="E26" s="44"/>
    </row>
    <row r="27" spans="1:8" x14ac:dyDescent="0.45">
      <c r="A27" s="44">
        <v>3525</v>
      </c>
      <c r="B27" s="44" t="s">
        <v>136</v>
      </c>
      <c r="C27" s="44" t="s">
        <v>135</v>
      </c>
      <c r="D27" s="44" t="s">
        <v>137</v>
      </c>
      <c r="E27" s="44"/>
    </row>
    <row r="28" spans="1:8" x14ac:dyDescent="0.45">
      <c r="A28" s="44">
        <v>3530</v>
      </c>
      <c r="B28" s="44" t="s">
        <v>138</v>
      </c>
      <c r="C28" s="44">
        <v>72</v>
      </c>
      <c r="D28" s="45">
        <v>319604</v>
      </c>
      <c r="E28" s="44"/>
    </row>
    <row r="29" spans="1:8" x14ac:dyDescent="0.45">
      <c r="A29" s="44">
        <v>9900100</v>
      </c>
      <c r="B29" s="44" t="s">
        <v>139</v>
      </c>
      <c r="C29" s="44">
        <v>254.8</v>
      </c>
      <c r="D29" s="45">
        <v>54486</v>
      </c>
      <c r="E29" s="44"/>
    </row>
    <row r="30" spans="1:8" x14ac:dyDescent="0.45">
      <c r="A30" s="44">
        <v>9900200</v>
      </c>
      <c r="B30" s="44" t="s">
        <v>140</v>
      </c>
      <c r="C30" s="44" t="s">
        <v>135</v>
      </c>
      <c r="D30" s="45">
        <v>-54486</v>
      </c>
      <c r="E30" s="44"/>
    </row>
    <row r="31" spans="1:8" x14ac:dyDescent="0.45">
      <c r="A31" s="44" t="s">
        <v>141</v>
      </c>
      <c r="B31" s="44"/>
      <c r="C31" s="46">
        <v>1515.4</v>
      </c>
      <c r="D31" s="45">
        <v>1395187</v>
      </c>
      <c r="E31" s="44"/>
    </row>
    <row r="32" spans="1:8" x14ac:dyDescent="0.45">
      <c r="A32" s="44"/>
      <c r="B32" s="44" t="s">
        <v>142</v>
      </c>
      <c r="C32" s="44" t="s">
        <v>135</v>
      </c>
      <c r="D32" s="44" t="s">
        <v>137</v>
      </c>
      <c r="E32" s="44"/>
    </row>
    <row r="33" spans="1:15" x14ac:dyDescent="0.45">
      <c r="A33" s="44" t="s">
        <v>143</v>
      </c>
      <c r="B33" s="44"/>
      <c r="C33" s="46">
        <v>1515.4</v>
      </c>
      <c r="D33" s="45">
        <v>1395187</v>
      </c>
      <c r="E33" s="44"/>
    </row>
    <row r="34" spans="1:15" x14ac:dyDescent="0.45">
      <c r="A34" s="44"/>
      <c r="B34" s="44"/>
      <c r="C34" s="44"/>
      <c r="D34" s="44"/>
      <c r="E34" s="44"/>
    </row>
    <row r="35" spans="1:15" x14ac:dyDescent="0.45">
      <c r="A35" s="44" t="s">
        <v>144</v>
      </c>
      <c r="B35" s="44"/>
      <c r="C35" s="44"/>
      <c r="D35" s="44"/>
      <c r="E35" s="44"/>
    </row>
    <row r="36" spans="1:15" x14ac:dyDescent="0.45">
      <c r="A36" s="47" t="s">
        <v>145</v>
      </c>
      <c r="B36" s="44"/>
      <c r="C36" s="44"/>
      <c r="D36" s="44"/>
      <c r="E36" s="44"/>
    </row>
    <row r="37" spans="1:15" x14ac:dyDescent="0.45">
      <c r="A37" s="47"/>
      <c r="B37" s="44"/>
      <c r="C37" s="44"/>
      <c r="D37" s="44"/>
      <c r="E37" s="44"/>
    </row>
    <row r="38" spans="1:15" x14ac:dyDescent="0.45">
      <c r="A38" s="47"/>
      <c r="B38" s="44"/>
      <c r="C38" s="44"/>
      <c r="D38" s="44"/>
      <c r="E38" s="44"/>
    </row>
    <row r="39" spans="1:15" x14ac:dyDescent="0.45">
      <c r="A39" s="58" t="s">
        <v>208</v>
      </c>
      <c r="B39" s="58"/>
      <c r="C39" s="58"/>
      <c r="D39" s="58"/>
    </row>
    <row r="40" spans="1:15" x14ac:dyDescent="0.45">
      <c r="B40">
        <v>2017</v>
      </c>
      <c r="E40">
        <v>2020</v>
      </c>
      <c r="O40">
        <v>2030</v>
      </c>
    </row>
    <row r="41" spans="1:15" x14ac:dyDescent="0.45">
      <c r="A41" t="s">
        <v>163</v>
      </c>
      <c r="B41">
        <v>438.00714018816001</v>
      </c>
      <c r="C41">
        <v>438.73916367667198</v>
      </c>
      <c r="D41">
        <v>429.47401324953597</v>
      </c>
      <c r="E41">
        <v>420.51900643737599</v>
      </c>
      <c r="F41">
        <v>416.40217962086399</v>
      </c>
      <c r="G41">
        <v>412.07637580185599</v>
      </c>
      <c r="H41">
        <v>411.70234454835202</v>
      </c>
      <c r="I41">
        <v>410.68316223078398</v>
      </c>
      <c r="J41">
        <v>412.15160483839998</v>
      </c>
      <c r="K41">
        <v>411.70647174348801</v>
      </c>
      <c r="L41">
        <v>411.53396840857602</v>
      </c>
      <c r="M41">
        <v>411.28533006745602</v>
      </c>
      <c r="N41">
        <v>411.07051459379198</v>
      </c>
      <c r="O41">
        <v>410.85573267455999</v>
      </c>
    </row>
    <row r="42" spans="1:15" x14ac:dyDescent="0.45">
      <c r="A42" t="s">
        <v>164</v>
      </c>
      <c r="B42">
        <v>423.66</v>
      </c>
      <c r="C42">
        <v>412.60599999999999</v>
      </c>
      <c r="D42">
        <v>397.74700000000001</v>
      </c>
      <c r="E42">
        <v>383.75099999999998</v>
      </c>
      <c r="F42">
        <v>371.67700000000002</v>
      </c>
      <c r="G42">
        <v>360.64600000000002</v>
      </c>
      <c r="H42">
        <v>350.58699999999999</v>
      </c>
      <c r="I42">
        <v>338.483</v>
      </c>
      <c r="J42">
        <v>332.37099999999998</v>
      </c>
      <c r="K42">
        <v>322.76799999999997</v>
      </c>
      <c r="L42">
        <v>314.37599999999998</v>
      </c>
      <c r="M42">
        <v>306.11599999999999</v>
      </c>
      <c r="N42">
        <v>299.29000000000002</v>
      </c>
      <c r="O42">
        <v>292.846</v>
      </c>
    </row>
    <row r="43" spans="1:15" x14ac:dyDescent="0.45">
      <c r="A43" t="s">
        <v>160</v>
      </c>
      <c r="B43">
        <f t="shared" ref="B43:D43" si="0">B41-B42</f>
        <v>14.347140188159983</v>
      </c>
      <c r="C43">
        <f t="shared" si="0"/>
        <v>26.133163676671984</v>
      </c>
      <c r="D43">
        <f t="shared" si="0"/>
        <v>31.727013249535958</v>
      </c>
      <c r="E43">
        <f>E41-E42</f>
        <v>36.768006437376016</v>
      </c>
      <c r="F43">
        <f t="shared" ref="F43:O43" si="1">F41-F42</f>
        <v>44.725179620863969</v>
      </c>
      <c r="G43">
        <f t="shared" si="1"/>
        <v>51.430375801855973</v>
      </c>
      <c r="H43">
        <f t="shared" si="1"/>
        <v>61.115344548352027</v>
      </c>
      <c r="I43">
        <f t="shared" si="1"/>
        <v>72.200162230783974</v>
      </c>
      <c r="J43">
        <f t="shared" si="1"/>
        <v>79.780604838399995</v>
      </c>
      <c r="K43">
        <f t="shared" si="1"/>
        <v>88.938471743488037</v>
      </c>
      <c r="L43">
        <f t="shared" si="1"/>
        <v>97.157968408576039</v>
      </c>
      <c r="M43">
        <f t="shared" si="1"/>
        <v>105.16933006745603</v>
      </c>
      <c r="N43">
        <f t="shared" si="1"/>
        <v>111.78051459379196</v>
      </c>
      <c r="O43" s="57">
        <f t="shared" si="1"/>
        <v>118.00973267455998</v>
      </c>
    </row>
  </sheetData>
  <hyperlinks>
    <hyperlink ref="A36" r:id="rId1" location="/e/2018-19/Department/3900" display="http://www.ebudget.ca.gov/budget/publication/ - /e/2018-19/Department/39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About</vt:lpstr>
      <vt:lpstr>Capture cost</vt:lpstr>
      <vt:lpstr>David &amp; Herzog</vt:lpstr>
      <vt:lpstr>Electricity demand and cost</vt:lpstr>
      <vt:lpstr>Impute capital-O&amp;M fractions</vt:lpstr>
      <vt:lpstr>NETL ATLAS V</vt:lpstr>
      <vt:lpstr>Rubin et al.-transport&amp;storage</vt:lpstr>
      <vt:lpstr>45Q tax credit</vt:lpstr>
      <vt:lpstr>Cost to administer policy</vt:lpstr>
      <vt:lpstr>Aggregation of cost inputs</vt:lpstr>
      <vt:lpstr>CC-CCoEtSOToCpY</vt:lpstr>
      <vt:lpstr>CC-TOMCpTS</vt:lpstr>
      <vt:lpstr>CC-EUpTCS</vt:lpstr>
    </vt:vector>
  </TitlesOfParts>
  <Company>EnergyInnovation.org</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Jeffrey Rissman</dc:creator>
  <cp:lastModifiedBy>Chris Busch</cp:lastModifiedBy>
  <dcterms:created xsi:type="dcterms:W3CDTF">2014-08-18T23:28:12Z</dcterms:created>
  <dcterms:modified xsi:type="dcterms:W3CDTF">2020-01-07T16:35:51Z</dcterms:modified>
</cp:coreProperties>
</file>